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\Desktop\Fichas Tecnicas 2021\FT Los Angeles por Corregir JC Campos\"/>
    </mc:Choice>
  </mc:AlternateContent>
  <bookViews>
    <workbookView xWindow="0" yWindow="0" windowWidth="20490" windowHeight="7755" tabRatio="500"/>
  </bookViews>
  <sheets>
    <sheet name="ARVEJA VERDE" sheetId="1" r:id="rId1"/>
  </sheets>
  <definedNames>
    <definedName name="_xlnm.Print_Area" localSheetId="0">'ARVEJA VERDE'!$A$1:$G$95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5" i="1" l="1"/>
  <c r="G64" i="1" l="1"/>
  <c r="G59" i="1"/>
  <c r="F57" i="1"/>
  <c r="G57" i="1" s="1"/>
  <c r="F55" i="1"/>
  <c r="G55" i="1" s="1"/>
  <c r="F54" i="1"/>
  <c r="G54" i="1" s="1"/>
  <c r="F53" i="1"/>
  <c r="G53" i="1" s="1"/>
  <c r="F51" i="1"/>
  <c r="G51" i="1" s="1"/>
  <c r="F49" i="1"/>
  <c r="G49" i="1" s="1"/>
  <c r="F48" i="1"/>
  <c r="D48" i="1"/>
  <c r="F46" i="1"/>
  <c r="G46" i="1" s="1"/>
  <c r="F45" i="1"/>
  <c r="G45" i="1" s="1"/>
  <c r="F44" i="1"/>
  <c r="G44" i="1" s="1"/>
  <c r="G38" i="1"/>
  <c r="G37" i="1"/>
  <c r="G36" i="1"/>
  <c r="G35" i="1"/>
  <c r="G24" i="1"/>
  <c r="G23" i="1"/>
  <c r="G22" i="1"/>
  <c r="G21" i="1"/>
  <c r="G11" i="1"/>
  <c r="G9" i="1"/>
  <c r="D25" i="1" s="1"/>
  <c r="G25" i="1" s="1"/>
  <c r="G26" i="1" l="1"/>
  <c r="G39" i="1"/>
  <c r="C86" i="1" s="1"/>
  <c r="G12" i="1"/>
  <c r="G70" i="1" s="1"/>
  <c r="G48" i="1"/>
  <c r="G60" i="1" s="1"/>
  <c r="G65" i="1"/>
  <c r="C88" i="1" s="1"/>
  <c r="C84" i="1" l="1"/>
  <c r="G67" i="1"/>
  <c r="G68" i="1" s="1"/>
  <c r="C89" i="1" s="1"/>
  <c r="C87" i="1"/>
  <c r="C90" i="1" l="1"/>
  <c r="D86" i="1" s="1"/>
  <c r="G69" i="1"/>
  <c r="D88" i="1" l="1"/>
  <c r="D84" i="1"/>
  <c r="D87" i="1"/>
  <c r="D90" i="1" s="1"/>
  <c r="D85" i="1"/>
  <c r="D89" i="1"/>
  <c r="D94" i="1"/>
  <c r="G71" i="1"/>
  <c r="E94" i="1"/>
  <c r="C94" i="1"/>
</calcChain>
</file>

<file path=xl/sharedStrings.xml><?xml version="1.0" encoding="utf-8"?>
<sst xmlns="http://schemas.openxmlformats.org/spreadsheetml/2006/main" count="160" uniqueCount="110">
  <si>
    <t>RUBRO O CULTIVO</t>
  </si>
  <si>
    <t>ARVEJA VERDE</t>
  </si>
  <si>
    <t>RENDIMIENTO : KG/HA)</t>
  </si>
  <si>
    <t>VARIEDAD</t>
  </si>
  <si>
    <t>UTRILLO</t>
  </si>
  <si>
    <t>FECHA ESTIMADA  PRECIO VENTA</t>
  </si>
  <si>
    <t>NIVEL TECNOLÓGICO</t>
  </si>
  <si>
    <t>MEDIO</t>
  </si>
  <si>
    <t>PRECIO ESPERADO (kg)</t>
  </si>
  <si>
    <t>REGIÓN</t>
  </si>
  <si>
    <t>BIO BIO</t>
  </si>
  <si>
    <t>INGRESO ESPERADO, con IVA ($)</t>
  </si>
  <si>
    <t>AGENCIA DE ÁREA</t>
  </si>
  <si>
    <t>LOS ANGELES</t>
  </si>
  <si>
    <t>DESTINO PRODUCCION</t>
  </si>
  <si>
    <t>Mercado Local y Regional</t>
  </si>
  <si>
    <t>COMUNA/LOCALIDAD</t>
  </si>
  <si>
    <t>TODAS</t>
  </si>
  <si>
    <t>FECHA DE COSECHA</t>
  </si>
  <si>
    <t>Diciembre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</si>
  <si>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</si>
  <si>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</si>
  <si>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</si>
  <si>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</si>
  <si>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</si>
  <si>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</si>
  <si>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</si>
  <si>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</si>
  <si>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</si>
  <si>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</si>
  <si>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</si>
  <si>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</t>
  </si>
  <si>
    <t>JH</t>
  </si>
  <si>
    <t>Septiembre</t>
  </si>
  <si>
    <t>Riego</t>
  </si>
  <si>
    <t>Noviembre- Febrero</t>
  </si>
  <si>
    <t xml:space="preserve">Aplicación fungicida </t>
  </si>
  <si>
    <t>Noviembre</t>
  </si>
  <si>
    <t xml:space="preserve">Aplicación insecticida </t>
  </si>
  <si>
    <t>Cosecha</t>
  </si>
  <si>
    <t>Sacos</t>
  </si>
  <si>
    <t>Subtotal Jornadas Hombre</t>
  </si>
  <si>
    <t>MAQUINARIA</t>
  </si>
  <si>
    <t>Aradura</t>
  </si>
  <si>
    <t>Agosto</t>
  </si>
  <si>
    <t>Rastra</t>
  </si>
  <si>
    <t>Vibrocultivador</t>
  </si>
  <si>
    <t>Siembra</t>
  </si>
  <si>
    <t>Subtotal Costo Maquinaria</t>
  </si>
  <si>
    <t>INSUMOS</t>
  </si>
  <si>
    <t>Insumos</t>
  </si>
  <si>
    <t>Unidad (Kg/l/u)</t>
  </si>
  <si>
    <t>Cantidad (Kg/l/u)</t>
  </si>
  <si>
    <t>HERBICIDAS</t>
  </si>
  <si>
    <t>Rango</t>
  </si>
  <si>
    <t>Lt</t>
  </si>
  <si>
    <t>Linurex 50</t>
  </si>
  <si>
    <t>Basagran</t>
  </si>
  <si>
    <t>FUNGICIDA</t>
  </si>
  <si>
    <t>Indar flo</t>
  </si>
  <si>
    <t>Fungizeb MT 58 (2 aplicaciones)</t>
  </si>
  <si>
    <t>Kg</t>
  </si>
  <si>
    <t xml:space="preserve">SEMILLA </t>
  </si>
  <si>
    <t>Semilla de Arveja</t>
  </si>
  <si>
    <t>FERTILIZANTE</t>
  </si>
  <si>
    <t>Mezcla 9/41/12</t>
  </si>
  <si>
    <t>Vitramag</t>
  </si>
  <si>
    <t>kg</t>
  </si>
  <si>
    <t>Algamar</t>
  </si>
  <si>
    <t>INSECTICIDA</t>
  </si>
  <si>
    <t>Absoluto 70 WP</t>
  </si>
  <si>
    <t>gr</t>
  </si>
  <si>
    <t>octubre</t>
  </si>
  <si>
    <t>OTROS</t>
  </si>
  <si>
    <t xml:space="preserve">Un </t>
  </si>
  <si>
    <t>Enero-Febrero</t>
  </si>
  <si>
    <t>Subtotal Insumos</t>
  </si>
  <si>
    <t>Item</t>
  </si>
  <si>
    <t>sacos</t>
  </si>
  <si>
    <t>dic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</si>
  <si>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</si>
  <si>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</si>
  <si>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</si>
  <si>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</si>
  <si>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</si>
  <si>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</si>
  <si>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rFont val="Calibri"/>
        <family val="2"/>
        <charset val="1"/>
      </rPr>
      <t>Fuente</t>
    </r>
    <r>
      <rPr>
        <sz val="8"/>
        <rFont val="Calibri"/>
        <family val="2"/>
        <charset val="1"/>
      </rPr>
      <t>: INDAP</t>
    </r>
  </si>
  <si>
    <r>
      <rPr>
        <b/>
        <u/>
        <sz val="7"/>
        <rFont val="Calibri"/>
        <family val="2"/>
        <charset val="1"/>
      </rPr>
      <t>Notas</t>
    </r>
    <r>
      <rPr>
        <b/>
        <sz val="7"/>
        <rFont val="Calibri"/>
        <family val="2"/>
        <charset val="1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</si>
  <si>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</si>
  <si>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</si>
  <si>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</si>
  <si>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</si>
  <si>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</si>
  <si>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</si>
  <si>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</si>
  <si>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</si>
  <si>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</si>
  <si>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</si>
  <si>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</si>
  <si>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</si>
  <si>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</si>
  <si>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</si>
  <si>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</si>
  <si>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(kg/hà)</t>
  </si>
  <si>
    <t>Costo unitario ($/kg) (*)</t>
  </si>
  <si>
    <t>(*): Este valor representa el valor mìnimo de venta del producto</t>
  </si>
  <si>
    <t>JORNADAS ANIMAL</t>
  </si>
  <si>
    <t>Subtotal Jornadas Animal</t>
  </si>
  <si>
    <t>ESCENARIOS COSTO UNITARIO  ($/KG)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</si>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</sst>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A]mmm/yy"/>
    <numFmt numFmtId="165" formatCode="&quot;$ &quot;#,##0"/>
    <numFmt numFmtId="166" formatCode="\ * #,##0&quot;   &quot;;\-* #,##0&quot;   &quot;;\ * \-??&quot;   &quot;"/>
    <numFmt numFmtId="167" formatCode="0\ %"/>
    <numFmt numFmtId="168" formatCode="\ * #,##0\ ;\ * \-#,##0\ ;\ * &quot;- &quot;"/>
    <numFmt numFmtId="169" formatCode="&quot; &quot;* #,##0&quot;   &quot;;&quot;-&quot;* #,##0&quot;   &quot;;&quot; &quot;* &quot;-&quot;??&quot;   &quot;"/>
  </numFmts>
  <fonts count="25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b/>
      <sz val="9"/>
      <name val="Calibri"/>
      <family val="2"/>
      <charset val="1"/>
    </font>
    <font>
      <sz val="9"/>
      <color rgb="FF000000"/>
      <name val="Calibri"/>
      <family val="2"/>
    </font>
    <font>
      <sz val="9"/>
      <name val="Calibri"/>
      <family val="2"/>
      <charset val="1"/>
    </font>
    <font>
      <sz val="8"/>
      <name val="Arial Narrow"/>
      <family val="2"/>
      <charset val="1"/>
    </font>
    <font>
      <sz val="9"/>
      <name val="Arial Narrow"/>
      <family val="2"/>
      <charset val="1"/>
    </font>
    <font>
      <sz val="9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b/>
      <sz val="7"/>
      <name val="Calibri"/>
      <family val="2"/>
      <charset val="1"/>
    </font>
    <font>
      <u/>
      <sz val="8"/>
      <name val="Calibri"/>
      <family val="2"/>
      <charset val="1"/>
    </font>
    <font>
      <sz val="8"/>
      <name val="Calibri"/>
      <family val="2"/>
      <charset val="1"/>
    </font>
    <font>
      <b/>
      <u/>
      <sz val="7"/>
      <name val="Calibri"/>
      <family val="2"/>
      <charset val="1"/>
    </font>
    <font>
      <sz val="7"/>
      <name val="Calibri"/>
      <family val="2"/>
      <charset val="1"/>
    </font>
    <font>
      <b/>
      <sz val="9"/>
      <color theme="0"/>
      <name val="Calibri"/>
      <family val="2"/>
      <charset val="1"/>
    </font>
    <font>
      <sz val="8"/>
      <color theme="0"/>
      <name val="Arial Narrow"/>
      <family val="2"/>
      <charset val="1"/>
    </font>
    <font>
      <sz val="9"/>
      <color theme="0"/>
      <name val="Calibri"/>
      <family val="2"/>
      <charset val="1"/>
    </font>
    <font>
      <b/>
      <i/>
      <sz val="9"/>
      <color theme="0"/>
      <name val="Calibri"/>
      <family val="2"/>
      <charset val="1"/>
    </font>
    <font>
      <sz val="9"/>
      <name val="Calibri"/>
      <family val="2"/>
    </font>
    <font>
      <sz val="9"/>
      <color theme="0"/>
      <name val="Calibri"/>
      <family val="2"/>
    </font>
    <font>
      <sz val="9"/>
      <color theme="0"/>
      <name val="Arial Narrow"/>
      <family val="2"/>
      <charset val="1"/>
    </font>
    <font>
      <b/>
      <sz val="9"/>
      <color theme="0"/>
      <name val="Calibri"/>
      <family val="2"/>
    </font>
    <font>
      <b/>
      <sz val="7"/>
      <color theme="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6C0A"/>
        <bgColor rgb="FFFF9900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rgb="FFFFFFCC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33B7B1"/>
        <bgColor rgb="FFFFFFCC"/>
      </patternFill>
    </fill>
    <fill>
      <patternFill patternType="solid">
        <fgColor rgb="FF33B7B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7">
    <xf numFmtId="0" fontId="0" fillId="0" borderId="0" xfId="0"/>
    <xf numFmtId="0" fontId="0" fillId="0" borderId="0" xfId="0" applyFont="1" applyBorder="1" applyAlignment="1" applyProtection="1"/>
    <xf numFmtId="49" fontId="12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166" fontId="3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vertical="center"/>
    </xf>
    <xf numFmtId="49" fontId="15" fillId="2" borderId="0" xfId="0" applyNumberFormat="1" applyFont="1" applyFill="1" applyBorder="1" applyAlignment="1" applyProtection="1">
      <alignment vertical="center"/>
    </xf>
    <xf numFmtId="49" fontId="21" fillId="5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 applyProtection="1"/>
    <xf numFmtId="0" fontId="0" fillId="0" borderId="0" xfId="0" applyBorder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wrapText="1"/>
    </xf>
    <xf numFmtId="14" fontId="5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justify" wrapText="1"/>
    </xf>
    <xf numFmtId="0" fontId="5" fillId="2" borderId="0" xfId="0" applyFont="1" applyFill="1" applyBorder="1" applyAlignment="1" applyProtection="1">
      <alignment horizontal="left"/>
    </xf>
    <xf numFmtId="49" fontId="16" fillId="6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49" fontId="16" fillId="9" borderId="0" xfId="0" applyNumberFormat="1" applyFont="1" applyFill="1" applyBorder="1" applyAlignment="1" applyProtection="1">
      <alignment horizontal="center" vertical="center" wrapText="1"/>
    </xf>
    <xf numFmtId="49" fontId="17" fillId="9" borderId="0" xfId="0" applyNumberFormat="1" applyFont="1" applyFill="1" applyBorder="1" applyAlignment="1" applyProtection="1">
      <alignment vertical="center"/>
    </xf>
    <xf numFmtId="0" fontId="17" fillId="9" borderId="0" xfId="0" applyFont="1" applyFill="1" applyBorder="1" applyAlignment="1" applyProtection="1">
      <alignment horizontal="center" vertical="center"/>
    </xf>
    <xf numFmtId="0" fontId="17" fillId="9" borderId="0" xfId="0" applyFont="1" applyFill="1" applyBorder="1" applyAlignment="1" applyProtection="1">
      <alignment vertical="center"/>
    </xf>
    <xf numFmtId="3" fontId="17" fillId="9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/>
    <xf numFmtId="49" fontId="23" fillId="7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49" fontId="21" fillId="10" borderId="0" xfId="0" applyNumberFormat="1" applyFont="1" applyFill="1" applyBorder="1" applyAlignment="1">
      <alignment vertical="center"/>
    </xf>
    <xf numFmtId="0" fontId="21" fillId="9" borderId="0" xfId="0" applyFont="1" applyFill="1" applyBorder="1" applyAlignment="1" applyProtection="1"/>
    <xf numFmtId="3" fontId="21" fillId="9" borderId="0" xfId="0" applyNumberFormat="1" applyFont="1" applyFill="1" applyBorder="1" applyAlignment="1" applyProtection="1"/>
    <xf numFmtId="0" fontId="21" fillId="8" borderId="0" xfId="0" applyFont="1" applyFill="1" applyBorder="1" applyAlignment="1" applyProtection="1"/>
    <xf numFmtId="3" fontId="21" fillId="8" borderId="0" xfId="0" applyNumberFormat="1" applyFont="1" applyFill="1" applyBorder="1" applyAlignment="1" applyProtection="1"/>
    <xf numFmtId="49" fontId="22" fillId="9" borderId="0" xfId="0" applyNumberFormat="1" applyFont="1" applyFill="1" applyBorder="1" applyAlignment="1" applyProtection="1">
      <alignment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vertical="center"/>
    </xf>
    <xf numFmtId="3" fontId="22" fillId="9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49" fontId="3" fillId="6" borderId="0" xfId="0" applyNumberFormat="1" applyFont="1" applyFill="1" applyBorder="1" applyAlignment="1" applyProtection="1">
      <alignment vertical="center"/>
    </xf>
    <xf numFmtId="0" fontId="16" fillId="6" borderId="0" xfId="0" applyFont="1" applyFill="1" applyBorder="1" applyAlignment="1" applyProtection="1">
      <alignment vertical="center"/>
    </xf>
    <xf numFmtId="0" fontId="16" fillId="9" borderId="0" xfId="0" applyFont="1" applyFill="1" applyBorder="1" applyAlignment="1" applyProtection="1">
      <alignment vertical="center"/>
    </xf>
    <xf numFmtId="3" fontId="15" fillId="2" borderId="0" xfId="0" applyNumberFormat="1" applyFont="1" applyFill="1" applyBorder="1" applyAlignment="1" applyProtection="1"/>
    <xf numFmtId="49" fontId="16" fillId="9" borderId="1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right" wrapText="1"/>
    </xf>
    <xf numFmtId="3" fontId="4" fillId="0" borderId="1" xfId="0" applyNumberFormat="1" applyFont="1" applyBorder="1" applyAlignment="1" applyProtection="1">
      <alignment horizontal="right"/>
    </xf>
    <xf numFmtId="49" fontId="6" fillId="2" borderId="1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right"/>
    </xf>
    <xf numFmtId="164" fontId="4" fillId="2" borderId="1" xfId="0" applyNumberFormat="1" applyFont="1" applyFill="1" applyBorder="1" applyAlignment="1" applyProtection="1">
      <alignment horizontal="right"/>
    </xf>
    <xf numFmtId="3" fontId="4" fillId="2" borderId="1" xfId="0" applyNumberFormat="1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/>
    <xf numFmtId="164" fontId="4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49" fontId="16" fillId="9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/>
    </xf>
    <xf numFmtId="3" fontId="8" fillId="0" borderId="1" xfId="0" applyNumberFormat="1" applyFont="1" applyBorder="1" applyAlignment="1" applyProtection="1"/>
    <xf numFmtId="0" fontId="8" fillId="0" borderId="1" xfId="0" applyFont="1" applyBorder="1" applyAlignment="1" applyProtection="1"/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0" fillId="8" borderId="0" xfId="0" applyFont="1" applyFill="1" applyBorder="1" applyAlignment="1" applyProtection="1"/>
    <xf numFmtId="49" fontId="16" fillId="9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/>
    <xf numFmtId="0" fontId="20" fillId="0" borderId="1" xfId="1" applyFont="1" applyBorder="1" applyAlignment="1" applyProtection="1">
      <alignment horizontal="left"/>
    </xf>
    <xf numFmtId="0" fontId="8" fillId="0" borderId="1" xfId="1" applyFont="1" applyBorder="1" applyAlignment="1" applyProtection="1">
      <alignment horizontal="center"/>
    </xf>
    <xf numFmtId="3" fontId="8" fillId="0" borderId="1" xfId="1" applyNumberFormat="1" applyFont="1" applyBorder="1" applyAlignment="1" applyProtection="1">
      <alignment horizontal="right"/>
    </xf>
    <xf numFmtId="3" fontId="9" fillId="0" borderId="1" xfId="1" applyNumberFormat="1" applyFont="1" applyBorder="1" applyAlignment="1" applyProtection="1">
      <alignment horizontal="right"/>
    </xf>
    <xf numFmtId="0" fontId="8" fillId="0" borderId="1" xfId="1" applyFont="1" applyBorder="1" applyAlignment="1" applyProtection="1">
      <alignment horizontal="left"/>
    </xf>
    <xf numFmtId="0" fontId="10" fillId="0" borderId="1" xfId="0" applyFont="1" applyBorder="1" applyAlignment="1" applyProtection="1"/>
    <xf numFmtId="165" fontId="4" fillId="0" borderId="1" xfId="0" applyNumberFormat="1" applyFont="1" applyBorder="1" applyAlignment="1" applyProtection="1"/>
    <xf numFmtId="165" fontId="8" fillId="2" borderId="1" xfId="0" applyNumberFormat="1" applyFont="1" applyFill="1" applyBorder="1" applyAlignment="1" applyProtection="1"/>
    <xf numFmtId="3" fontId="4" fillId="0" borderId="1" xfId="0" applyNumberFormat="1" applyFont="1" applyBorder="1" applyAlignment="1" applyProtection="1"/>
    <xf numFmtId="3" fontId="8" fillId="2" borderId="1" xfId="0" applyNumberFormat="1" applyFont="1" applyFill="1" applyBorder="1" applyAlignment="1" applyProtection="1"/>
    <xf numFmtId="0" fontId="8" fillId="0" borderId="1" xfId="0" applyFont="1" applyBorder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3" fontId="4" fillId="0" borderId="1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vertical="center"/>
    </xf>
    <xf numFmtId="49" fontId="16" fillId="6" borderId="3" xfId="0" applyNumberFormat="1" applyFont="1" applyFill="1" applyBorder="1" applyAlignment="1" applyProtection="1">
      <alignment vertical="center"/>
    </xf>
    <xf numFmtId="0" fontId="16" fillId="6" borderId="4" xfId="0" applyFont="1" applyFill="1" applyBorder="1" applyAlignment="1" applyProtection="1">
      <alignment vertical="center"/>
    </xf>
    <xf numFmtId="166" fontId="16" fillId="6" borderId="2" xfId="0" applyNumberFormat="1" applyFont="1" applyFill="1" applyBorder="1" applyAlignment="1" applyProtection="1">
      <alignment vertical="center"/>
    </xf>
    <xf numFmtId="49" fontId="16" fillId="9" borderId="5" xfId="0" applyNumberFormat="1" applyFont="1" applyFill="1" applyBorder="1" applyAlignment="1" applyProtection="1">
      <alignment vertical="center"/>
    </xf>
    <xf numFmtId="166" fontId="16" fillId="9" borderId="6" xfId="0" applyNumberFormat="1" applyFont="1" applyFill="1" applyBorder="1" applyAlignment="1" applyProtection="1">
      <alignment vertical="center"/>
    </xf>
    <xf numFmtId="49" fontId="16" fillId="6" borderId="5" xfId="0" applyNumberFormat="1" applyFont="1" applyFill="1" applyBorder="1" applyAlignment="1" applyProtection="1">
      <alignment vertical="center"/>
    </xf>
    <xf numFmtId="166" fontId="16" fillId="6" borderId="6" xfId="0" applyNumberFormat="1" applyFont="1" applyFill="1" applyBorder="1" applyAlignment="1" applyProtection="1">
      <alignment vertical="center"/>
    </xf>
    <xf numFmtId="49" fontId="3" fillId="6" borderId="7" xfId="0" applyNumberFormat="1" applyFont="1" applyFill="1" applyBorder="1" applyAlignment="1" applyProtection="1">
      <alignment vertical="center"/>
    </xf>
    <xf numFmtId="0" fontId="11" fillId="6" borderId="8" xfId="0" applyFont="1" applyFill="1" applyBorder="1" applyAlignment="1" applyProtection="1">
      <alignment vertical="center"/>
    </xf>
    <xf numFmtId="49" fontId="14" fillId="2" borderId="3" xfId="0" applyNumberFormat="1" applyFont="1" applyFill="1" applyBorder="1" applyAlignment="1" applyProtection="1">
      <alignment vertical="center"/>
    </xf>
    <xf numFmtId="0" fontId="15" fillId="2" borderId="4" xfId="0" applyFont="1" applyFill="1" applyBorder="1" applyAlignment="1" applyProtection="1"/>
    <xf numFmtId="166" fontId="3" fillId="2" borderId="2" xfId="0" applyNumberFormat="1" applyFont="1" applyFill="1" applyBorder="1" applyAlignment="1" applyProtection="1">
      <alignment vertical="center"/>
    </xf>
    <xf numFmtId="49" fontId="15" fillId="2" borderId="5" xfId="0" applyNumberFormat="1" applyFont="1" applyFill="1" applyBorder="1" applyAlignment="1" applyProtection="1">
      <alignment vertical="center"/>
    </xf>
    <xf numFmtId="166" fontId="3" fillId="2" borderId="6" xfId="0" applyNumberFormat="1" applyFont="1" applyFill="1" applyBorder="1" applyAlignment="1" applyProtection="1">
      <alignment vertical="center"/>
    </xf>
    <xf numFmtId="49" fontId="15" fillId="2" borderId="7" xfId="0" applyNumberFormat="1" applyFont="1" applyFill="1" applyBorder="1" applyAlignment="1" applyProtection="1">
      <alignment vertical="center"/>
    </xf>
    <xf numFmtId="0" fontId="15" fillId="2" borderId="8" xfId="0" applyFont="1" applyFill="1" applyBorder="1" applyAlignment="1" applyProtection="1"/>
    <xf numFmtId="166" fontId="3" fillId="2" borderId="9" xfId="0" applyNumberFormat="1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/>
    <xf numFmtId="49" fontId="11" fillId="4" borderId="1" xfId="0" applyNumberFormat="1" applyFont="1" applyFill="1" applyBorder="1" applyAlignment="1" applyProtection="1">
      <alignment vertical="center"/>
    </xf>
    <xf numFmtId="49" fontId="15" fillId="4" borderId="1" xfId="0" applyNumberFormat="1" applyFont="1" applyFill="1" applyBorder="1" applyAlignment="1" applyProtection="1"/>
    <xf numFmtId="49" fontId="11" fillId="2" borderId="1" xfId="0" applyNumberFormat="1" applyFont="1" applyFill="1" applyBorder="1" applyAlignment="1" applyProtection="1">
      <alignment vertical="center"/>
    </xf>
    <xf numFmtId="3" fontId="11" fillId="2" borderId="1" xfId="0" applyNumberFormat="1" applyFont="1" applyFill="1" applyBorder="1" applyAlignment="1" applyProtection="1">
      <alignment vertical="center"/>
    </xf>
    <xf numFmtId="167" fontId="15" fillId="2" borderId="1" xfId="0" applyNumberFormat="1" applyFont="1" applyFill="1" applyBorder="1" applyAlignment="1" applyProtection="1"/>
    <xf numFmtId="168" fontId="11" fillId="2" borderId="1" xfId="0" applyNumberFormat="1" applyFont="1" applyFill="1" applyBorder="1" applyAlignment="1" applyProtection="1">
      <alignment vertical="center"/>
    </xf>
    <xf numFmtId="49" fontId="11" fillId="11" borderId="1" xfId="0" applyNumberFormat="1" applyFont="1" applyFill="1" applyBorder="1" applyAlignment="1" applyProtection="1">
      <alignment vertical="center"/>
    </xf>
    <xf numFmtId="168" fontId="11" fillId="11" borderId="1" xfId="0" applyNumberFormat="1" applyFont="1" applyFill="1" applyBorder="1" applyAlignment="1" applyProtection="1">
      <alignment vertical="center"/>
    </xf>
    <xf numFmtId="167" fontId="11" fillId="11" borderId="1" xfId="0" applyNumberFormat="1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vertical="center"/>
    </xf>
    <xf numFmtId="49" fontId="24" fillId="3" borderId="1" xfId="0" applyNumberFormat="1" applyFont="1" applyFill="1" applyBorder="1" applyAlignment="1" applyProtection="1">
      <alignment vertical="center"/>
    </xf>
    <xf numFmtId="0" fontId="11" fillId="11" borderId="1" xfId="0" applyFont="1" applyFill="1" applyBorder="1" applyAlignment="1" applyProtection="1">
      <alignment vertical="center"/>
    </xf>
    <xf numFmtId="49" fontId="6" fillId="2" borderId="1" xfId="0" applyNumberFormat="1" applyFont="1" applyFill="1" applyBorder="1" applyAlignment="1" applyProtection="1"/>
    <xf numFmtId="169" fontId="23" fillId="12" borderId="9" xfId="0" applyNumberFormat="1" applyFont="1" applyFill="1" applyBorder="1" applyAlignment="1">
      <alignment vertical="center"/>
    </xf>
    <xf numFmtId="0" fontId="7" fillId="2" borderId="0" xfId="0" applyFont="1" applyFill="1" applyBorder="1" applyAlignment="1" applyProtection="1"/>
    <xf numFmtId="49" fontId="6" fillId="2" borderId="1" xfId="0" applyNumberFormat="1" applyFont="1" applyFill="1" applyBorder="1" applyAlignment="1" applyProtection="1"/>
    <xf numFmtId="49" fontId="19" fillId="9" borderId="0" xfId="0" applyNumberFormat="1" applyFont="1" applyFill="1" applyBorder="1" applyAlignment="1" applyProtection="1">
      <alignment horizontal="center" vertical="center"/>
    </xf>
    <xf numFmtId="49" fontId="24" fillId="3" borderId="1" xfId="0" applyNumberFormat="1" applyFont="1" applyFill="1" applyBorder="1" applyAlignment="1" applyProtection="1">
      <alignment vertical="center"/>
    </xf>
    <xf numFmtId="49" fontId="18" fillId="9" borderId="1" xfId="0" applyNumberFormat="1" applyFont="1" applyFill="1" applyBorder="1" applyAlignment="1" applyProtection="1">
      <alignment wrapText="1"/>
    </xf>
    <xf numFmtId="49" fontId="6" fillId="2" borderId="1" xfId="0" applyNumberFormat="1" applyFont="1" applyFill="1" applyBorder="1" applyAlignment="1" applyProtection="1">
      <alignment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B7B1"/>
      <color rgb="FF33CC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</xdr:colOff>
      <xdr:row>1</xdr:row>
      <xdr:rowOff>0</xdr:rowOff>
    </xdr:from>
    <xdr:to>
      <xdr:col>6</xdr:col>
      <xdr:colOff>333360</xdr:colOff>
      <xdr:row>7</xdr:row>
      <xdr:rowOff>31680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480" y="190440"/>
          <a:ext cx="534132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360</xdr:colOff>
      <xdr:row>1</xdr:row>
      <xdr:rowOff>0</xdr:rowOff>
    </xdr:from>
    <xdr:to>
      <xdr:col>6</xdr:col>
      <xdr:colOff>333360</xdr:colOff>
      <xdr:row>7</xdr:row>
      <xdr:rowOff>31680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480" y="190440"/>
          <a:ext cx="534132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359</xdr:colOff>
      <xdr:row>1</xdr:row>
      <xdr:rowOff>0</xdr:rowOff>
    </xdr:from>
    <xdr:to>
      <xdr:col>7</xdr:col>
      <xdr:colOff>17317</xdr:colOff>
      <xdr:row>7</xdr:row>
      <xdr:rowOff>31680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294768" y="190500"/>
          <a:ext cx="5593413" cy="117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95"/>
  <sheetViews>
    <sheetView tabSelected="1" zoomScale="110" zoomScaleNormal="110" workbookViewId="0">
      <selection activeCell="J35" sqref="J35"/>
    </sheetView>
  </sheetViews>
  <sheetFormatPr baseColWidth="10" defaultColWidth="10.85546875" defaultRowHeight="1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19" width="10.85546875" style="1"/>
    <col min="220" max="16384" width="10.85546875" style="11"/>
  </cols>
  <sheetData>
    <row r="1" spans="1:7" ht="15" customHeight="1">
      <c r="A1" s="10"/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5" customHeight="1">
      <c r="A5" s="10"/>
      <c r="B5" s="10"/>
      <c r="C5" s="10"/>
      <c r="D5" s="10"/>
      <c r="E5" s="10"/>
      <c r="F5" s="10"/>
      <c r="G5" s="10"/>
    </row>
    <row r="6" spans="1:7" ht="15" customHeight="1">
      <c r="A6" s="10"/>
      <c r="B6" s="10"/>
      <c r="C6" s="10"/>
      <c r="D6" s="10"/>
      <c r="E6" s="10"/>
      <c r="F6" s="10"/>
      <c r="G6" s="10"/>
    </row>
    <row r="7" spans="1:7" ht="15" customHeight="1">
      <c r="A7" s="10"/>
      <c r="B7" s="10"/>
      <c r="C7" s="10"/>
      <c r="D7" s="10"/>
      <c r="E7" s="10"/>
      <c r="F7" s="10"/>
      <c r="G7" s="10"/>
    </row>
    <row r="8" spans="1:7" ht="15" customHeight="1">
      <c r="A8" s="10"/>
      <c r="B8" s="10"/>
      <c r="C8" s="10"/>
      <c r="D8" s="10"/>
      <c r="E8" s="10"/>
      <c r="F8" s="10"/>
      <c r="G8" s="10"/>
    </row>
    <row r="9" spans="1:7" ht="12" customHeight="1">
      <c r="A9" s="10"/>
      <c r="B9" s="41" t="s">
        <v>0</v>
      </c>
      <c r="C9" s="42" t="s">
        <v>1</v>
      </c>
      <c r="D9" s="12"/>
      <c r="E9" s="115" t="s">
        <v>2</v>
      </c>
      <c r="F9" s="115"/>
      <c r="G9" s="43">
        <f>300*30</f>
        <v>9000</v>
      </c>
    </row>
    <row r="10" spans="1:7">
      <c r="A10" s="10"/>
      <c r="B10" s="44" t="s">
        <v>3</v>
      </c>
      <c r="C10" s="45" t="s">
        <v>4</v>
      </c>
      <c r="D10" s="111"/>
      <c r="E10" s="116" t="s">
        <v>5</v>
      </c>
      <c r="F10" s="116"/>
      <c r="G10" s="46">
        <v>44531</v>
      </c>
    </row>
    <row r="11" spans="1:7" ht="18" customHeight="1">
      <c r="A11" s="10"/>
      <c r="B11" s="44" t="s">
        <v>6</v>
      </c>
      <c r="C11" s="45" t="s">
        <v>7</v>
      </c>
      <c r="D11" s="111"/>
      <c r="E11" s="116" t="s">
        <v>8</v>
      </c>
      <c r="F11" s="116"/>
      <c r="G11" s="47">
        <f>18000/30</f>
        <v>600</v>
      </c>
    </row>
    <row r="12" spans="1:7" ht="11.25" customHeight="1">
      <c r="A12" s="10"/>
      <c r="B12" s="44" t="s">
        <v>9</v>
      </c>
      <c r="C12" s="45" t="s">
        <v>10</v>
      </c>
      <c r="D12" s="111"/>
      <c r="E12" s="109" t="s">
        <v>11</v>
      </c>
      <c r="F12" s="48"/>
      <c r="G12" s="47">
        <f>G9*G11</f>
        <v>5400000</v>
      </c>
    </row>
    <row r="13" spans="1:7" ht="11.25" customHeight="1">
      <c r="A13" s="10"/>
      <c r="B13" s="44" t="s">
        <v>12</v>
      </c>
      <c r="C13" s="45" t="s">
        <v>13</v>
      </c>
      <c r="D13" s="111"/>
      <c r="E13" s="116" t="s">
        <v>14</v>
      </c>
      <c r="F13" s="116"/>
      <c r="G13" s="45" t="s">
        <v>15</v>
      </c>
    </row>
    <row r="14" spans="1:7" ht="13.5" customHeight="1">
      <c r="A14" s="10"/>
      <c r="B14" s="44" t="s">
        <v>16</v>
      </c>
      <c r="C14" s="45" t="s">
        <v>17</v>
      </c>
      <c r="D14" s="111"/>
      <c r="E14" s="116" t="s">
        <v>18</v>
      </c>
      <c r="F14" s="116"/>
      <c r="G14" s="46">
        <v>44531</v>
      </c>
    </row>
    <row r="15" spans="1:7" ht="25.5" customHeight="1">
      <c r="A15" s="10"/>
      <c r="B15" s="44" t="s">
        <v>20</v>
      </c>
      <c r="C15" s="49">
        <v>44166</v>
      </c>
      <c r="D15" s="111"/>
      <c r="E15" s="112" t="s">
        <v>21</v>
      </c>
      <c r="F15" s="112"/>
      <c r="G15" s="50" t="s">
        <v>22</v>
      </c>
    </row>
    <row r="16" spans="1:7" ht="12" customHeight="1">
      <c r="A16" s="10"/>
      <c r="B16" s="13"/>
      <c r="C16" s="14"/>
      <c r="D16" s="12"/>
      <c r="E16" s="12"/>
      <c r="F16" s="12"/>
      <c r="G16" s="15"/>
    </row>
    <row r="17" spans="1:7" ht="12" customHeight="1">
      <c r="A17" s="10"/>
      <c r="B17" s="113" t="s">
        <v>23</v>
      </c>
      <c r="C17" s="113"/>
      <c r="D17" s="113"/>
      <c r="E17" s="113"/>
      <c r="F17" s="113"/>
      <c r="G17" s="113"/>
    </row>
    <row r="18" spans="1:7" ht="12" customHeight="1">
      <c r="A18" s="10"/>
      <c r="B18" s="12"/>
      <c r="C18" s="16"/>
      <c r="D18" s="16"/>
      <c r="E18" s="16"/>
      <c r="F18" s="12"/>
      <c r="G18" s="12"/>
    </row>
    <row r="19" spans="1:7" ht="12" customHeight="1">
      <c r="A19" s="10"/>
      <c r="B19" s="17" t="s">
        <v>24</v>
      </c>
      <c r="C19" s="18"/>
      <c r="D19" s="18"/>
      <c r="E19" s="18"/>
      <c r="F19" s="18"/>
      <c r="G19" s="18"/>
    </row>
    <row r="20" spans="1:7" ht="24" customHeight="1">
      <c r="A20" s="10"/>
      <c r="B20" s="51" t="s">
        <v>25</v>
      </c>
      <c r="C20" s="51" t="s">
        <v>26</v>
      </c>
      <c r="D20" s="51" t="s">
        <v>27</v>
      </c>
      <c r="E20" s="51" t="s">
        <v>28</v>
      </c>
      <c r="F20" s="51" t="s">
        <v>29</v>
      </c>
      <c r="G20" s="51" t="s">
        <v>30</v>
      </c>
    </row>
    <row r="21" spans="1:7" ht="17.25" customHeight="1">
      <c r="A21" s="10"/>
      <c r="B21" s="52" t="s">
        <v>31</v>
      </c>
      <c r="C21" s="53" t="s">
        <v>32</v>
      </c>
      <c r="D21" s="53">
        <v>2</v>
      </c>
      <c r="E21" s="53" t="s">
        <v>33</v>
      </c>
      <c r="F21" s="54">
        <v>15000</v>
      </c>
      <c r="G21" s="54">
        <f>D21*F21</f>
        <v>30000</v>
      </c>
    </row>
    <row r="22" spans="1:7">
      <c r="A22" s="10"/>
      <c r="B22" s="55" t="s">
        <v>34</v>
      </c>
      <c r="C22" s="53" t="s">
        <v>32</v>
      </c>
      <c r="D22" s="53">
        <v>10</v>
      </c>
      <c r="E22" s="53" t="s">
        <v>35</v>
      </c>
      <c r="F22" s="54">
        <v>15000</v>
      </c>
      <c r="G22" s="54">
        <f>D22*F22</f>
        <v>150000</v>
      </c>
    </row>
    <row r="23" spans="1:7" ht="12.75" customHeight="1">
      <c r="A23" s="10"/>
      <c r="B23" s="56" t="s">
        <v>36</v>
      </c>
      <c r="C23" s="53" t="s">
        <v>32</v>
      </c>
      <c r="D23" s="57">
        <v>2</v>
      </c>
      <c r="E23" s="53" t="s">
        <v>37</v>
      </c>
      <c r="F23" s="54">
        <v>15000</v>
      </c>
      <c r="G23" s="54">
        <f>D23*F23</f>
        <v>30000</v>
      </c>
    </row>
    <row r="24" spans="1:7">
      <c r="A24" s="10"/>
      <c r="B24" s="56" t="s">
        <v>38</v>
      </c>
      <c r="C24" s="53" t="s">
        <v>32</v>
      </c>
      <c r="D24" s="57">
        <v>2</v>
      </c>
      <c r="E24" s="53" t="s">
        <v>37</v>
      </c>
      <c r="F24" s="54">
        <v>15000</v>
      </c>
      <c r="G24" s="54">
        <f>D24*F24</f>
        <v>30000</v>
      </c>
    </row>
    <row r="25" spans="1:7" ht="12.75" customHeight="1">
      <c r="A25" s="10"/>
      <c r="B25" s="56" t="s">
        <v>39</v>
      </c>
      <c r="C25" s="57" t="s">
        <v>40</v>
      </c>
      <c r="D25" s="57">
        <f>G9/30</f>
        <v>300</v>
      </c>
      <c r="E25" s="57" t="s">
        <v>19</v>
      </c>
      <c r="F25" s="54">
        <v>4000</v>
      </c>
      <c r="G25" s="54">
        <f>D25*F25</f>
        <v>1200000</v>
      </c>
    </row>
    <row r="26" spans="1:7" ht="12.75" customHeight="1">
      <c r="A26" s="58"/>
      <c r="B26" s="20" t="s">
        <v>41</v>
      </c>
      <c r="C26" s="21"/>
      <c r="D26" s="21"/>
      <c r="E26" s="21"/>
      <c r="F26" s="22"/>
      <c r="G26" s="23">
        <f>SUM(G21:G25)</f>
        <v>1440000</v>
      </c>
    </row>
    <row r="27" spans="1:7" ht="12.75" customHeight="1">
      <c r="A27" s="10"/>
      <c r="B27" s="12"/>
      <c r="C27" s="12"/>
      <c r="D27" s="12"/>
      <c r="E27" s="12"/>
      <c r="F27" s="24"/>
      <c r="G27" s="24"/>
    </row>
    <row r="28" spans="1:7" ht="12.75" customHeight="1">
      <c r="A28" s="10"/>
      <c r="B28" s="25" t="s">
        <v>106</v>
      </c>
      <c r="C28" s="26"/>
      <c r="D28" s="26"/>
      <c r="E28" s="26"/>
      <c r="F28" s="18"/>
      <c r="G28" s="18"/>
    </row>
    <row r="29" spans="1:7" ht="24" customHeight="1">
      <c r="A29" s="10"/>
      <c r="B29" s="59" t="s">
        <v>25</v>
      </c>
      <c r="C29" s="51" t="s">
        <v>26</v>
      </c>
      <c r="D29" s="51" t="s">
        <v>27</v>
      </c>
      <c r="E29" s="59" t="s">
        <v>28</v>
      </c>
      <c r="F29" s="51" t="s">
        <v>29</v>
      </c>
      <c r="G29" s="59" t="s">
        <v>30</v>
      </c>
    </row>
    <row r="30" spans="1:7" ht="12.75" customHeight="1">
      <c r="A30" s="10"/>
      <c r="B30" s="60"/>
      <c r="C30" s="57"/>
      <c r="D30" s="57"/>
      <c r="E30" s="57"/>
      <c r="F30" s="54"/>
      <c r="G30" s="54"/>
    </row>
    <row r="31" spans="1:7" ht="14.25" customHeight="1">
      <c r="A31" s="10"/>
      <c r="B31" s="27" t="s">
        <v>107</v>
      </c>
      <c r="C31" s="28"/>
      <c r="D31" s="28"/>
      <c r="E31" s="28"/>
      <c r="F31" s="29"/>
      <c r="G31" s="29"/>
    </row>
    <row r="32" spans="1:7" ht="14.25" customHeight="1">
      <c r="A32" s="10"/>
      <c r="B32" s="9"/>
      <c r="C32" s="30"/>
      <c r="D32" s="30"/>
      <c r="E32" s="30"/>
      <c r="F32" s="31"/>
      <c r="G32" s="31"/>
    </row>
    <row r="33" spans="1:7" ht="12.75" customHeight="1">
      <c r="A33" s="10"/>
      <c r="B33" s="17" t="s">
        <v>42</v>
      </c>
      <c r="C33" s="26"/>
      <c r="D33" s="26"/>
      <c r="E33" s="26"/>
      <c r="F33" s="18"/>
      <c r="G33" s="18"/>
    </row>
    <row r="34" spans="1:7" ht="18.75" customHeight="1">
      <c r="A34" s="10"/>
      <c r="B34" s="59" t="s">
        <v>25</v>
      </c>
      <c r="C34" s="59" t="s">
        <v>26</v>
      </c>
      <c r="D34" s="59" t="s">
        <v>27</v>
      </c>
      <c r="E34" s="59" t="s">
        <v>28</v>
      </c>
      <c r="F34" s="51" t="s">
        <v>29</v>
      </c>
      <c r="G34" s="59" t="s">
        <v>30</v>
      </c>
    </row>
    <row r="35" spans="1:7" ht="12.75" customHeight="1">
      <c r="A35" s="10"/>
      <c r="B35" s="61" t="s">
        <v>43</v>
      </c>
      <c r="C35" s="62" t="s">
        <v>109</v>
      </c>
      <c r="D35" s="62">
        <v>2.2000000000000002</v>
      </c>
      <c r="E35" s="62" t="s">
        <v>44</v>
      </c>
      <c r="F35" s="63">
        <v>25000</v>
      </c>
      <c r="G35" s="64">
        <f>D35*F35*1.19</f>
        <v>65450.000000000007</v>
      </c>
    </row>
    <row r="36" spans="1:7" ht="12.75" customHeight="1">
      <c r="A36" s="10"/>
      <c r="B36" s="65" t="s">
        <v>45</v>
      </c>
      <c r="C36" s="62" t="s">
        <v>109</v>
      </c>
      <c r="D36" s="62">
        <v>2</v>
      </c>
      <c r="E36" s="62" t="s">
        <v>33</v>
      </c>
      <c r="F36" s="63">
        <v>20000</v>
      </c>
      <c r="G36" s="64">
        <f>D36*F36*1.19</f>
        <v>47600</v>
      </c>
    </row>
    <row r="37" spans="1:7" ht="12.75" customHeight="1">
      <c r="A37" s="10"/>
      <c r="B37" s="65" t="s">
        <v>46</v>
      </c>
      <c r="C37" s="62" t="s">
        <v>109</v>
      </c>
      <c r="D37" s="62">
        <v>1</v>
      </c>
      <c r="E37" s="62" t="s">
        <v>33</v>
      </c>
      <c r="F37" s="63">
        <v>25000</v>
      </c>
      <c r="G37" s="64">
        <f>D37*F37*1.19</f>
        <v>29750</v>
      </c>
    </row>
    <row r="38" spans="1:7" ht="12.75" customHeight="1">
      <c r="A38" s="10"/>
      <c r="B38" s="60" t="s">
        <v>47</v>
      </c>
      <c r="C38" s="62" t="s">
        <v>109</v>
      </c>
      <c r="D38" s="57">
        <v>2</v>
      </c>
      <c r="E38" s="57" t="s">
        <v>44</v>
      </c>
      <c r="F38" s="54">
        <v>30000</v>
      </c>
      <c r="G38" s="54">
        <f>D38*F38</f>
        <v>60000</v>
      </c>
    </row>
    <row r="39" spans="1:7" ht="12" customHeight="1">
      <c r="A39" s="10"/>
      <c r="B39" s="20" t="s">
        <v>48</v>
      </c>
      <c r="C39" s="21"/>
      <c r="D39" s="21"/>
      <c r="E39" s="21"/>
      <c r="F39" s="22"/>
      <c r="G39" s="23">
        <f>SUM(G35:G38)</f>
        <v>202800</v>
      </c>
    </row>
    <row r="40" spans="1:7" ht="12" customHeight="1">
      <c r="A40" s="10"/>
      <c r="B40" s="12"/>
      <c r="C40" s="12"/>
      <c r="D40" s="12"/>
      <c r="E40" s="12"/>
      <c r="F40" s="24"/>
      <c r="G40" s="24"/>
    </row>
    <row r="41" spans="1:7" ht="24" customHeight="1">
      <c r="A41" s="10"/>
      <c r="B41" s="17" t="s">
        <v>49</v>
      </c>
      <c r="C41" s="26"/>
      <c r="D41" s="26"/>
      <c r="E41" s="26"/>
      <c r="F41" s="18"/>
      <c r="G41" s="18"/>
    </row>
    <row r="42" spans="1:7" ht="24">
      <c r="A42" s="10"/>
      <c r="B42" s="19" t="s">
        <v>50</v>
      </c>
      <c r="C42" s="19" t="s">
        <v>51</v>
      </c>
      <c r="D42" s="19" t="s">
        <v>52</v>
      </c>
      <c r="E42" s="19" t="s">
        <v>28</v>
      </c>
      <c r="F42" s="19" t="s">
        <v>29</v>
      </c>
      <c r="G42" s="19" t="s">
        <v>30</v>
      </c>
    </row>
    <row r="43" spans="1:7">
      <c r="A43" s="10"/>
      <c r="B43" s="66" t="s">
        <v>53</v>
      </c>
      <c r="C43" s="53"/>
      <c r="D43" s="57"/>
      <c r="E43" s="62"/>
      <c r="F43" s="67"/>
      <c r="G43" s="68"/>
    </row>
    <row r="44" spans="1:7" ht="13.5" customHeight="1">
      <c r="A44" s="10"/>
      <c r="B44" s="55" t="s">
        <v>54</v>
      </c>
      <c r="C44" s="53" t="s">
        <v>55</v>
      </c>
      <c r="D44" s="57">
        <v>2</v>
      </c>
      <c r="E44" s="62" t="s">
        <v>44</v>
      </c>
      <c r="F44" s="69">
        <f>8000/1.19</f>
        <v>6722.6890756302528</v>
      </c>
      <c r="G44" s="70">
        <f>D44*F44*1.19</f>
        <v>16000</v>
      </c>
    </row>
    <row r="45" spans="1:7" ht="12" customHeight="1">
      <c r="A45" s="10"/>
      <c r="B45" s="55" t="s">
        <v>56</v>
      </c>
      <c r="C45" s="53" t="s">
        <v>55</v>
      </c>
      <c r="D45" s="57">
        <v>1</v>
      </c>
      <c r="E45" s="62" t="s">
        <v>44</v>
      </c>
      <c r="F45" s="69">
        <f>24000/1.19</f>
        <v>20168.067226890758</v>
      </c>
      <c r="G45" s="70">
        <f>D45*F45*1.19</f>
        <v>24000</v>
      </c>
    </row>
    <row r="46" spans="1:7" ht="12" customHeight="1">
      <c r="A46" s="10"/>
      <c r="B46" s="55" t="s">
        <v>57</v>
      </c>
      <c r="C46" s="53" t="s">
        <v>55</v>
      </c>
      <c r="D46" s="57">
        <v>2</v>
      </c>
      <c r="E46" s="53" t="s">
        <v>37</v>
      </c>
      <c r="F46" s="69">
        <f>28000/1.19</f>
        <v>23529.411764705885</v>
      </c>
      <c r="G46" s="70">
        <f>D46*F46*1.19</f>
        <v>56000</v>
      </c>
    </row>
    <row r="47" spans="1:7" ht="12" customHeight="1">
      <c r="A47" s="10"/>
      <c r="B47" s="66" t="s">
        <v>58</v>
      </c>
      <c r="C47" s="53"/>
      <c r="D47" s="57"/>
      <c r="E47" s="62"/>
      <c r="F47" s="69"/>
      <c r="G47" s="70"/>
    </row>
    <row r="48" spans="1:7" ht="12" customHeight="1">
      <c r="A48" s="10"/>
      <c r="B48" s="71" t="s">
        <v>59</v>
      </c>
      <c r="C48" s="72" t="s">
        <v>55</v>
      </c>
      <c r="D48" s="73">
        <f>0.2*1.2</f>
        <v>0.24</v>
      </c>
      <c r="E48" s="62" t="s">
        <v>33</v>
      </c>
      <c r="F48" s="74">
        <f>12000/1.19</f>
        <v>10084.033613445379</v>
      </c>
      <c r="G48" s="70">
        <f>D48*F48*1.19</f>
        <v>2880</v>
      </c>
    </row>
    <row r="49" spans="1:7" ht="24.75">
      <c r="A49" s="10"/>
      <c r="B49" s="71" t="s">
        <v>60</v>
      </c>
      <c r="C49" s="72" t="s">
        <v>61</v>
      </c>
      <c r="D49" s="73">
        <v>3</v>
      </c>
      <c r="E49" s="62" t="s">
        <v>33</v>
      </c>
      <c r="F49" s="74">
        <f>23000/1.19</f>
        <v>19327.731092436974</v>
      </c>
      <c r="G49" s="70">
        <f>D49*F49*1.19</f>
        <v>69000</v>
      </c>
    </row>
    <row r="50" spans="1:7" ht="12" customHeight="1">
      <c r="A50" s="10"/>
      <c r="B50" s="75" t="s">
        <v>62</v>
      </c>
      <c r="C50" s="72"/>
      <c r="D50" s="73"/>
      <c r="E50" s="62"/>
      <c r="F50" s="74"/>
      <c r="G50" s="70"/>
    </row>
    <row r="51" spans="1:7" ht="12" customHeight="1">
      <c r="A51" s="10"/>
      <c r="B51" s="55" t="s">
        <v>63</v>
      </c>
      <c r="C51" s="53" t="s">
        <v>61</v>
      </c>
      <c r="D51" s="57">
        <v>120</v>
      </c>
      <c r="E51" s="62" t="s">
        <v>44</v>
      </c>
      <c r="F51" s="69">
        <f>(100000/25)/1.19</f>
        <v>3361.3445378151264</v>
      </c>
      <c r="G51" s="70">
        <f>D51*F51*1.19</f>
        <v>480000.00000000006</v>
      </c>
    </row>
    <row r="52" spans="1:7" ht="12.75" customHeight="1">
      <c r="A52" s="10"/>
      <c r="B52" s="66" t="s">
        <v>64</v>
      </c>
      <c r="C52" s="53"/>
      <c r="D52" s="57"/>
      <c r="E52" s="62"/>
      <c r="F52" s="69"/>
      <c r="G52" s="70"/>
    </row>
    <row r="53" spans="1:7" ht="12" customHeight="1">
      <c r="A53" s="10"/>
      <c r="B53" s="55" t="s">
        <v>65</v>
      </c>
      <c r="C53" s="53" t="s">
        <v>61</v>
      </c>
      <c r="D53" s="57">
        <v>250</v>
      </c>
      <c r="E53" s="62" t="s">
        <v>44</v>
      </c>
      <c r="F53" s="69">
        <f>400/1.19</f>
        <v>336.1344537815126</v>
      </c>
      <c r="G53" s="70">
        <f>D53*F53*1.19</f>
        <v>100000</v>
      </c>
    </row>
    <row r="54" spans="1:7" ht="12" customHeight="1">
      <c r="A54" s="10"/>
      <c r="B54" s="55" t="s">
        <v>66</v>
      </c>
      <c r="C54" s="53" t="s">
        <v>67</v>
      </c>
      <c r="D54" s="57">
        <v>200</v>
      </c>
      <c r="E54" s="62" t="s">
        <v>44</v>
      </c>
      <c r="F54" s="69">
        <f>9000/25/1.19</f>
        <v>302.52100840336135</v>
      </c>
      <c r="G54" s="70">
        <f>D54*F54*1.19</f>
        <v>72000</v>
      </c>
    </row>
    <row r="55" spans="1:7" ht="12" customHeight="1">
      <c r="A55" s="10"/>
      <c r="B55" s="55" t="s">
        <v>68</v>
      </c>
      <c r="C55" s="53" t="s">
        <v>55</v>
      </c>
      <c r="D55" s="57">
        <v>3</v>
      </c>
      <c r="E55" s="62" t="s">
        <v>44</v>
      </c>
      <c r="F55" s="69">
        <f>12000/1.19</f>
        <v>10084.033613445379</v>
      </c>
      <c r="G55" s="70">
        <f>D55*F55*1.19</f>
        <v>36000</v>
      </c>
    </row>
    <row r="56" spans="1:7" ht="12" customHeight="1">
      <c r="A56" s="10"/>
      <c r="B56" s="66" t="s">
        <v>69</v>
      </c>
      <c r="C56" s="53"/>
      <c r="D56" s="57"/>
      <c r="E56" s="62"/>
      <c r="F56" s="69"/>
      <c r="G56" s="70"/>
    </row>
    <row r="57" spans="1:7" ht="12" customHeight="1">
      <c r="A57" s="10"/>
      <c r="B57" s="55" t="s">
        <v>70</v>
      </c>
      <c r="C57" s="53" t="s">
        <v>71</v>
      </c>
      <c r="D57" s="57">
        <v>100</v>
      </c>
      <c r="E57" s="62" t="s">
        <v>72</v>
      </c>
      <c r="F57" s="69">
        <f>25000/250/1.19</f>
        <v>84.033613445378151</v>
      </c>
      <c r="G57" s="70">
        <f>D57*F57*1.19</f>
        <v>10000</v>
      </c>
    </row>
    <row r="58" spans="1:7" ht="12" customHeight="1">
      <c r="A58" s="10"/>
      <c r="B58" s="66" t="s">
        <v>73</v>
      </c>
      <c r="C58" s="53"/>
      <c r="D58" s="57"/>
      <c r="E58" s="53"/>
      <c r="F58" s="69"/>
      <c r="G58" s="70"/>
    </row>
    <row r="59" spans="1:7" ht="12.75" customHeight="1">
      <c r="A59" s="10"/>
      <c r="B59" s="55" t="s">
        <v>40</v>
      </c>
      <c r="C59" s="53" t="s">
        <v>74</v>
      </c>
      <c r="D59" s="57">
        <v>360</v>
      </c>
      <c r="E59" s="53" t="s">
        <v>75</v>
      </c>
      <c r="F59" s="69">
        <v>110</v>
      </c>
      <c r="G59" s="70">
        <f>D59*F59*1.19</f>
        <v>47124</v>
      </c>
    </row>
    <row r="60" spans="1:7" ht="12" customHeight="1">
      <c r="A60" s="10"/>
      <c r="B60" s="32" t="s">
        <v>76</v>
      </c>
      <c r="C60" s="33"/>
      <c r="D60" s="33"/>
      <c r="E60" s="33"/>
      <c r="F60" s="34"/>
      <c r="G60" s="35">
        <f>SUM(G43:G59)</f>
        <v>913004</v>
      </c>
    </row>
    <row r="61" spans="1:7" ht="12" customHeight="1">
      <c r="A61" s="10"/>
      <c r="B61" s="12"/>
      <c r="C61" s="12"/>
      <c r="D61" s="12"/>
      <c r="E61" s="36"/>
      <c r="F61" s="24"/>
      <c r="G61" s="24"/>
    </row>
    <row r="62" spans="1:7" ht="12.75" customHeight="1">
      <c r="A62" s="10"/>
      <c r="B62" s="37" t="s">
        <v>73</v>
      </c>
      <c r="C62" s="26"/>
      <c r="D62" s="26"/>
      <c r="E62" s="26"/>
      <c r="F62" s="18"/>
      <c r="G62" s="18"/>
    </row>
    <row r="63" spans="1:7" ht="12" customHeight="1">
      <c r="A63" s="10"/>
      <c r="B63" s="59" t="s">
        <v>77</v>
      </c>
      <c r="C63" s="51" t="s">
        <v>51</v>
      </c>
      <c r="D63" s="51" t="s">
        <v>52</v>
      </c>
      <c r="E63" s="59" t="s">
        <v>28</v>
      </c>
      <c r="F63" s="51" t="s">
        <v>29</v>
      </c>
      <c r="G63" s="59" t="s">
        <v>30</v>
      </c>
    </row>
    <row r="64" spans="1:7" ht="12.75" customHeight="1">
      <c r="A64" s="10"/>
      <c r="B64" s="76" t="s">
        <v>78</v>
      </c>
      <c r="C64" s="77" t="s">
        <v>78</v>
      </c>
      <c r="D64" s="77">
        <v>380</v>
      </c>
      <c r="E64" s="77" t="s">
        <v>79</v>
      </c>
      <c r="F64" s="78">
        <v>100</v>
      </c>
      <c r="G64" s="78">
        <f>+F64*D64</f>
        <v>38000</v>
      </c>
    </row>
    <row r="65" spans="1:7" ht="12" customHeight="1">
      <c r="A65" s="10"/>
      <c r="B65" s="32" t="s">
        <v>80</v>
      </c>
      <c r="C65" s="33"/>
      <c r="D65" s="33"/>
      <c r="E65" s="33"/>
      <c r="F65" s="34"/>
      <c r="G65" s="35">
        <f>SUM(G64)</f>
        <v>38000</v>
      </c>
    </row>
    <row r="66" spans="1:7" ht="12.75" customHeight="1">
      <c r="A66" s="10"/>
      <c r="B66" s="12"/>
      <c r="C66" s="12"/>
      <c r="D66" s="12"/>
      <c r="E66" s="12"/>
      <c r="F66" s="24"/>
      <c r="G66" s="24"/>
    </row>
    <row r="67" spans="1:7" ht="15.6" customHeight="1">
      <c r="A67" s="10"/>
      <c r="B67" s="79" t="s">
        <v>81</v>
      </c>
      <c r="C67" s="80"/>
      <c r="D67" s="80"/>
      <c r="E67" s="80"/>
      <c r="F67" s="80"/>
      <c r="G67" s="81">
        <f>G26+G39+G60+G65</f>
        <v>2593804</v>
      </c>
    </row>
    <row r="68" spans="1:7" ht="11.25" customHeight="1">
      <c r="B68" s="82" t="s">
        <v>82</v>
      </c>
      <c r="C68" s="39"/>
      <c r="D68" s="39"/>
      <c r="E68" s="39"/>
      <c r="F68" s="39"/>
      <c r="G68" s="83">
        <f>G67*0.05</f>
        <v>129690.20000000001</v>
      </c>
    </row>
    <row r="69" spans="1:7" ht="11.25" customHeight="1">
      <c r="B69" s="84" t="s">
        <v>83</v>
      </c>
      <c r="C69" s="38"/>
      <c r="D69" s="38"/>
      <c r="E69" s="38"/>
      <c r="F69" s="38"/>
      <c r="G69" s="85">
        <f>G68+G67</f>
        <v>2723494.2</v>
      </c>
    </row>
    <row r="70" spans="1:7" ht="11.25" customHeight="1">
      <c r="B70" s="82" t="s">
        <v>84</v>
      </c>
      <c r="C70" s="39"/>
      <c r="D70" s="39"/>
      <c r="E70" s="39"/>
      <c r="F70" s="39"/>
      <c r="G70" s="83">
        <f>G12</f>
        <v>5400000</v>
      </c>
    </row>
    <row r="71" spans="1:7" ht="11.25" customHeight="1">
      <c r="B71" s="86" t="s">
        <v>85</v>
      </c>
      <c r="C71" s="87"/>
      <c r="D71" s="87"/>
      <c r="E71" s="87"/>
      <c r="F71" s="87"/>
      <c r="G71" s="110">
        <f>G70-G69</f>
        <v>2676505.7999999998</v>
      </c>
    </row>
    <row r="72" spans="1:7" ht="11.25" customHeight="1">
      <c r="B72" s="2" t="s">
        <v>86</v>
      </c>
      <c r="C72" s="3"/>
      <c r="D72" s="3"/>
      <c r="E72" s="3"/>
      <c r="F72" s="3"/>
      <c r="G72" s="4"/>
    </row>
    <row r="73" spans="1:7" ht="11.25" customHeight="1">
      <c r="B73" s="5"/>
      <c r="C73" s="3"/>
      <c r="D73" s="3"/>
      <c r="E73" s="3"/>
      <c r="F73" s="3"/>
      <c r="G73" s="4"/>
    </row>
    <row r="74" spans="1:7" ht="11.25" customHeight="1">
      <c r="B74" s="88" t="s">
        <v>87</v>
      </c>
      <c r="C74" s="89"/>
      <c r="D74" s="89"/>
      <c r="E74" s="89"/>
      <c r="F74" s="89"/>
      <c r="G74" s="90"/>
    </row>
    <row r="75" spans="1:7" ht="11.25" customHeight="1">
      <c r="B75" s="91" t="s">
        <v>88</v>
      </c>
      <c r="C75" s="6"/>
      <c r="D75" s="6"/>
      <c r="E75" s="6"/>
      <c r="F75" s="6"/>
      <c r="G75" s="92"/>
    </row>
    <row r="76" spans="1:7" ht="11.25" customHeight="1">
      <c r="B76" s="91" t="s">
        <v>89</v>
      </c>
      <c r="C76" s="6"/>
      <c r="D76" s="6"/>
      <c r="E76" s="6"/>
      <c r="F76" s="40"/>
      <c r="G76" s="92"/>
    </row>
    <row r="77" spans="1:7" ht="11.25" customHeight="1">
      <c r="B77" s="91" t="s">
        <v>90</v>
      </c>
      <c r="C77" s="6"/>
      <c r="D77" s="6"/>
      <c r="E77" s="6"/>
      <c r="F77" s="6"/>
      <c r="G77" s="92"/>
    </row>
    <row r="78" spans="1:7" ht="11.25" customHeight="1">
      <c r="B78" s="91" t="s">
        <v>91</v>
      </c>
      <c r="C78" s="6"/>
      <c r="D78" s="6"/>
      <c r="E78" s="6"/>
      <c r="F78" s="6"/>
      <c r="G78" s="92"/>
    </row>
    <row r="79" spans="1:7" ht="11.25" customHeight="1">
      <c r="B79" s="91" t="s">
        <v>92</v>
      </c>
      <c r="C79" s="6"/>
      <c r="D79" s="6"/>
      <c r="E79" s="6"/>
      <c r="F79" s="6"/>
      <c r="G79" s="92"/>
    </row>
    <row r="80" spans="1:7" ht="11.25" customHeight="1">
      <c r="B80" s="93" t="s">
        <v>93</v>
      </c>
      <c r="C80" s="94"/>
      <c r="D80" s="94"/>
      <c r="E80" s="94"/>
      <c r="F80" s="94"/>
      <c r="G80" s="95"/>
    </row>
    <row r="81" spans="2:7" ht="11.25" customHeight="1">
      <c r="B81" s="7"/>
      <c r="C81" s="6"/>
      <c r="D81" s="6"/>
      <c r="E81" s="6"/>
      <c r="F81" s="6"/>
      <c r="G81" s="4"/>
    </row>
    <row r="82" spans="2:7" ht="11.25" customHeight="1">
      <c r="B82" s="114" t="s">
        <v>94</v>
      </c>
      <c r="C82" s="114"/>
      <c r="D82" s="96"/>
      <c r="E82" s="6"/>
      <c r="F82" s="6"/>
      <c r="G82" s="4"/>
    </row>
    <row r="83" spans="2:7" ht="11.25" customHeight="1">
      <c r="B83" s="97" t="s">
        <v>77</v>
      </c>
      <c r="C83" s="97" t="s">
        <v>95</v>
      </c>
      <c r="D83" s="98" t="s">
        <v>96</v>
      </c>
      <c r="E83" s="6"/>
      <c r="F83" s="6"/>
      <c r="G83" s="4"/>
    </row>
    <row r="84" spans="2:7" ht="11.25" customHeight="1">
      <c r="B84" s="99" t="s">
        <v>97</v>
      </c>
      <c r="C84" s="100">
        <f>+G26</f>
        <v>1440000</v>
      </c>
      <c r="D84" s="101">
        <f>+C84/C90</f>
        <v>0.52873253778179508</v>
      </c>
      <c r="E84" s="6"/>
      <c r="F84" s="6"/>
      <c r="G84" s="4"/>
    </row>
    <row r="85" spans="2:7" ht="11.25" customHeight="1">
      <c r="B85" s="99" t="s">
        <v>98</v>
      </c>
      <c r="C85" s="100">
        <f>+G31</f>
        <v>0</v>
      </c>
      <c r="D85" s="101">
        <f>+C85/C90</f>
        <v>0</v>
      </c>
      <c r="E85" s="6"/>
      <c r="F85" s="6"/>
      <c r="G85" s="4"/>
    </row>
    <row r="86" spans="2:7" ht="11.25" customHeight="1">
      <c r="B86" s="99" t="s">
        <v>99</v>
      </c>
      <c r="C86" s="100">
        <f>+G39</f>
        <v>202800</v>
      </c>
      <c r="D86" s="101">
        <f>(C86/C90)</f>
        <v>7.446316573760281E-2</v>
      </c>
      <c r="E86" s="6"/>
      <c r="F86" s="6"/>
      <c r="G86" s="4"/>
    </row>
    <row r="87" spans="2:7" ht="11.25" customHeight="1">
      <c r="B87" s="99" t="s">
        <v>50</v>
      </c>
      <c r="C87" s="100">
        <f>+G60</f>
        <v>913004</v>
      </c>
      <c r="D87" s="101">
        <f>(C87/C90)</f>
        <v>0.33523258467009032</v>
      </c>
      <c r="E87" s="6"/>
      <c r="F87" s="6"/>
      <c r="G87" s="4"/>
    </row>
    <row r="88" spans="2:7" ht="11.25" customHeight="1">
      <c r="B88" s="99" t="s">
        <v>100</v>
      </c>
      <c r="C88" s="102">
        <f>+G65</f>
        <v>38000</v>
      </c>
      <c r="D88" s="101">
        <f>(C88/C90)</f>
        <v>1.3952664191464037E-2</v>
      </c>
      <c r="E88" s="3"/>
      <c r="F88" s="3"/>
      <c r="G88" s="4"/>
    </row>
    <row r="89" spans="2:7" ht="11.25" customHeight="1">
      <c r="B89" s="99" t="s">
        <v>101</v>
      </c>
      <c r="C89" s="102">
        <f>+G68</f>
        <v>129690.20000000001</v>
      </c>
      <c r="D89" s="101">
        <f>(C89/C90)</f>
        <v>4.7619047619047623E-2</v>
      </c>
      <c r="E89" s="3"/>
      <c r="F89" s="3"/>
      <c r="G89" s="4"/>
    </row>
    <row r="90" spans="2:7" ht="11.25" customHeight="1">
      <c r="B90" s="103" t="s">
        <v>102</v>
      </c>
      <c r="C90" s="104">
        <f>SUM(C84:C89)</f>
        <v>2723494.2</v>
      </c>
      <c r="D90" s="105">
        <f>SUM(D84:D89)</f>
        <v>0.99999999999999989</v>
      </c>
      <c r="E90" s="3"/>
      <c r="F90" s="3"/>
      <c r="G90" s="4"/>
    </row>
    <row r="91" spans="2:7" ht="11.25" customHeight="1">
      <c r="B91" s="5"/>
      <c r="C91" s="3"/>
      <c r="D91" s="3"/>
      <c r="E91" s="3"/>
      <c r="F91" s="3"/>
      <c r="G91" s="4"/>
    </row>
    <row r="92" spans="2:7" ht="11.25" customHeight="1">
      <c r="B92" s="106"/>
      <c r="C92" s="107" t="s">
        <v>108</v>
      </c>
      <c r="D92" s="106"/>
      <c r="E92" s="106"/>
      <c r="F92" s="3"/>
      <c r="G92" s="4"/>
    </row>
    <row r="93" spans="2:7" ht="11.25" customHeight="1">
      <c r="B93" s="103" t="s">
        <v>103</v>
      </c>
      <c r="C93" s="108">
        <v>8500</v>
      </c>
      <c r="D93" s="108">
        <v>9000</v>
      </c>
      <c r="E93" s="108">
        <v>9500</v>
      </c>
      <c r="F93" s="3"/>
      <c r="G93" s="4"/>
    </row>
    <row r="94" spans="2:7" ht="11.25" customHeight="1">
      <c r="B94" s="103" t="s">
        <v>104</v>
      </c>
      <c r="C94" s="104">
        <f>(G69/C93)</f>
        <v>320.41108235294121</v>
      </c>
      <c r="D94" s="104">
        <f>(G69/D93)</f>
        <v>302.6104666666667</v>
      </c>
      <c r="E94" s="104">
        <f>(G69/E93)</f>
        <v>286.68360000000001</v>
      </c>
      <c r="F94" s="3"/>
      <c r="G94" s="4"/>
    </row>
    <row r="95" spans="2:7" ht="11.25" customHeight="1">
      <c r="B95" s="8" t="s">
        <v>105</v>
      </c>
      <c r="C95" s="6"/>
      <c r="D95" s="6"/>
      <c r="E95" s="6"/>
      <c r="F95" s="6"/>
      <c r="G95" s="6"/>
    </row>
  </sheetData>
  <mergeCells count="8">
    <mergeCell ref="E15:F15"/>
    <mergeCell ref="B17:G17"/>
    <mergeCell ref="B82:C82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paperSize="345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ARVEJA VERDE</vt:lpstr>
      <vt:lpstr>'ARVEJA VERDE'!Área_de_impresión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Claudio</cp:lastModifiedBy>
  <cp:revision>1</cp:revision>
  <cp:lastPrinted>2021-01-24T18:40:24Z</cp:lastPrinted>
  <dcterms:created xsi:type="dcterms:W3CDTF">2020-11-27T12:49:26Z</dcterms:created>
  <dcterms:modified xsi:type="dcterms:W3CDTF">2021-02-18T14:27:33Z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