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Valparaiso\La Calera\"/>
    </mc:Choice>
  </mc:AlternateContent>
  <bookViews>
    <workbookView xWindow="0" yWindow="0" windowWidth="20490" windowHeight="7155"/>
  </bookViews>
  <sheets>
    <sheet name="LISIANTHU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7" i="1" l="1"/>
  <c r="G9" i="1" s="1"/>
  <c r="G12" i="1" s="1"/>
  <c r="G83" i="1" s="1"/>
  <c r="D61" i="1"/>
  <c r="F61" i="1"/>
  <c r="G63" i="1"/>
  <c r="E107" i="1"/>
  <c r="C107" i="1"/>
  <c r="F72" i="1"/>
  <c r="G72" i="1" s="1"/>
  <c r="D70" i="1"/>
  <c r="G60" i="1"/>
  <c r="G57" i="1"/>
  <c r="G37" i="1"/>
  <c r="G38" i="1" s="1"/>
  <c r="C99" i="1" s="1"/>
  <c r="D42" i="1"/>
  <c r="D25" i="1"/>
  <c r="G25" i="1" s="1"/>
  <c r="D21" i="1"/>
  <c r="G21" i="1" s="1"/>
  <c r="F70" i="1"/>
  <c r="F65" i="1"/>
  <c r="G65" i="1" s="1"/>
  <c r="F49" i="1"/>
  <c r="G49" i="1"/>
  <c r="F59" i="1"/>
  <c r="G59" i="1" s="1"/>
  <c r="F64" i="1"/>
  <c r="G64" i="1"/>
  <c r="G66" i="1"/>
  <c r="G58" i="1"/>
  <c r="G71" i="1"/>
  <c r="F67" i="1"/>
  <c r="G67" i="1" s="1"/>
  <c r="D27" i="1"/>
  <c r="G27" i="1" s="1"/>
  <c r="C98" i="1"/>
  <c r="G56" i="1"/>
  <c r="F55" i="1"/>
  <c r="G55" i="1" s="1"/>
  <c r="G54" i="1"/>
  <c r="F69" i="1"/>
  <c r="G69" i="1" s="1"/>
  <c r="G68" i="1"/>
  <c r="G24" i="1"/>
  <c r="G22" i="1"/>
  <c r="F52" i="1"/>
  <c r="G52" i="1" s="1"/>
  <c r="G51" i="1"/>
  <c r="F48" i="1"/>
  <c r="G48" i="1" s="1"/>
  <c r="F47" i="1"/>
  <c r="G47" i="1" s="1"/>
  <c r="G45" i="1"/>
  <c r="G44" i="1"/>
  <c r="G42" i="1"/>
  <c r="F26" i="1"/>
  <c r="G26" i="1" s="1"/>
  <c r="G23" i="1"/>
  <c r="C101" i="1"/>
  <c r="G46" i="1"/>
  <c r="G70" i="1" l="1"/>
  <c r="G61" i="1"/>
  <c r="G73" i="1" s="1"/>
  <c r="C100" i="1" s="1"/>
  <c r="G28" i="1"/>
  <c r="C97" i="1" s="1"/>
  <c r="G80" i="1" l="1"/>
  <c r="G81" i="1" s="1"/>
  <c r="C102" i="1" l="1"/>
  <c r="G82" i="1"/>
  <c r="G84" i="1" s="1"/>
  <c r="C103" i="1" l="1"/>
  <c r="D108" i="1" l="1"/>
  <c r="C108" i="1"/>
  <c r="E108" i="1"/>
  <c r="D99" i="1"/>
  <c r="D101" i="1"/>
  <c r="D100" i="1"/>
  <c r="D97" i="1"/>
  <c r="D102" i="1"/>
  <c r="D103" i="1" l="1"/>
  <c r="G85" i="1"/>
</calcChain>
</file>

<file path=xl/sharedStrings.xml><?xml version="1.0" encoding="utf-8"?>
<sst xmlns="http://schemas.openxmlformats.org/spreadsheetml/2006/main" count="202" uniqueCount="138">
  <si>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</si>
  <si>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</si>
  <si>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</si>
  <si>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</si>
  <si>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</si>
  <si>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</si>
  <si>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</si>
  <si>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</si>
  <si>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</si>
  <si>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</si>
  <si>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</si>
  <si>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</si>
  <si>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</si>
  <si>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</si>
  <si>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</si>
  <si>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</si>
  <si>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</si>
  <si>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</si>
  <si>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</si>
  <si>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</si>
  <si>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</si>
  <si>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</si>
  <si>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</si>
  <si>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</si>
  <si>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</si>
  <si>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</si>
  <si>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</si>
  <si>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</si>
  <si>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</si>
  <si>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</si>
  <si>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</si>
  <si>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</si>
  <si>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</si>
  <si>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</si>
  <si>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</si>
  <si>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</si>
  <si>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</si>
  <si>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</si>
  <si>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</si>
  <si>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</si>
  <si>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</si>
  <si>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</si>
  <si>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</si>
  <si>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</si>
  <si>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</si>
  <si>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</si>
  <si>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</si>
  <si>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</si>
  <si>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</si>
  <si>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</si>
  <si>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</si>
  <si>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</si>
  <si>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</si>
  <si>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</si>
  <si>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</si>
  <si>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</si>
  <si>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</si>
  <si>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</si>
  <si>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</si>
  <si>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</si>
  <si>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</si>
  <si>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VALPARAISO</t>
  </si>
  <si>
    <t>TODO EL AÑO</t>
  </si>
  <si>
    <t>Plantación</t>
  </si>
  <si>
    <t xml:space="preserve">Desinfecciones </t>
  </si>
  <si>
    <t>Cosecha</t>
  </si>
  <si>
    <t>Preparación de suelo</t>
  </si>
  <si>
    <t>todo el año</t>
  </si>
  <si>
    <t>un</t>
  </si>
  <si>
    <t>Nitrato Potasio</t>
  </si>
  <si>
    <t xml:space="preserve">Nitrato de amonio </t>
  </si>
  <si>
    <t>Nitrato de magnesio</t>
  </si>
  <si>
    <t>Fosfato Monopotasico</t>
  </si>
  <si>
    <t>Nitrato de calcio</t>
  </si>
  <si>
    <t>Oxifluirfen</t>
  </si>
  <si>
    <t>l</t>
  </si>
  <si>
    <t>Paraquat</t>
  </si>
  <si>
    <t>L</t>
  </si>
  <si>
    <t>Abamectina</t>
  </si>
  <si>
    <t>Protectores aplicacdores</t>
  </si>
  <si>
    <t>Labores de mantencion y limpieza</t>
  </si>
  <si>
    <t>Reposicion polietileno (50 % superficie)</t>
  </si>
  <si>
    <t>Maderas reposicion</t>
  </si>
  <si>
    <t>marzo-abril</t>
  </si>
  <si>
    <t>paq 50 un</t>
  </si>
  <si>
    <t>Tiametoxam + lanbda cihaotrina</t>
  </si>
  <si>
    <t>1 l</t>
  </si>
  <si>
    <t>Lambda cihalotrina</t>
  </si>
  <si>
    <t>1/4 L</t>
  </si>
  <si>
    <t>FUNGICDAS E INSECTICIDAS</t>
  </si>
  <si>
    <t>mes</t>
  </si>
  <si>
    <t>set</t>
  </si>
  <si>
    <t>Repocision cintas de riego</t>
  </si>
  <si>
    <t>m</t>
  </si>
  <si>
    <t>COSTOS DIRECTOS DE PRODUCCIÓN 1050 M2 (5 INV)  (INCLUYE IVA)</t>
  </si>
  <si>
    <t>Preparacion cama e instalación de cintas</t>
  </si>
  <si>
    <t>Diciembre</t>
  </si>
  <si>
    <t>Todo el año</t>
  </si>
  <si>
    <t>noviembre</t>
  </si>
  <si>
    <t>Electricidad riego</t>
  </si>
  <si>
    <t>Repocision malla tutora</t>
  </si>
  <si>
    <t>rollo 420</t>
  </si>
  <si>
    <t>Propamocarb</t>
  </si>
  <si>
    <t>Bioestimulantes foliares (genérico)</t>
  </si>
  <si>
    <t>Extractos algas (genérico)</t>
  </si>
  <si>
    <t>Estimulantes radiculares</t>
  </si>
  <si>
    <t>Carbendazima</t>
  </si>
  <si>
    <t>Microelementos /fetrilon combi</t>
  </si>
  <si>
    <t>2 kg</t>
  </si>
  <si>
    <t>rollo 100 m</t>
  </si>
  <si>
    <t>Polietileno reparacion 50 %  del total</t>
  </si>
  <si>
    <t>LISIANTHUS</t>
  </si>
  <si>
    <t>PRECIO ESPERADO ($/RAMO)</t>
  </si>
  <si>
    <t>enero</t>
  </si>
  <si>
    <t>Plantin autoproducción</t>
  </si>
  <si>
    <t>diciembre</t>
  </si>
  <si>
    <t>Ciprodinilo + fludioxonilo</t>
  </si>
  <si>
    <t>1 kg</t>
  </si>
  <si>
    <t>mayo-agosto</t>
  </si>
  <si>
    <t>Iprodinoe</t>
  </si>
  <si>
    <t>Rendimiento (ramos/año x 5 inv)</t>
  </si>
  <si>
    <t>Costo unitario ($/ramo)</t>
  </si>
  <si>
    <t>Diversas</t>
  </si>
  <si>
    <t>RENDIMIENTO Ramos/ 1050 m2</t>
  </si>
  <si>
    <t>MERCADO INTERNO</t>
  </si>
  <si>
    <t xml:space="preserve">Entutorado </t>
  </si>
  <si>
    <t>Marzo</t>
  </si>
  <si>
    <t>ab- ag; nov- dic</t>
  </si>
  <si>
    <t>Compost</t>
  </si>
  <si>
    <t>m3</t>
  </si>
  <si>
    <t>Metan Sodio</t>
  </si>
  <si>
    <t>20 l</t>
  </si>
  <si>
    <t>LA CALERA</t>
  </si>
  <si>
    <t>Ab-Mayo; Nov-Dic</t>
  </si>
  <si>
    <t>ESCENARIOS COSTO UNITARIO  ($/Ramo)</t>
  </si>
  <si>
    <t>SEQUÍA</t>
  </si>
  <si>
    <t>JM</t>
  </si>
  <si>
    <t>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</si>
</sst>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 &quot;$&quot;* #,##0_ ;_ &quot;$&quot;* \-#,##0_ ;_ &quot;$&quot;* &quot;-&quot;_ ;_ @_ "/>
    <numFmt numFmtId="41" formatCode="_ * #,##0_ ;_ * \-#,##0_ ;_ * &quot;-&quot;_ ;_ @_ "/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 applyNumberFormat="0" applyFill="0" applyBorder="0" applyProtection="0"/>
    <xf numFmtId="41" fontId="19" fillId="0" borderId="0" applyFont="0" applyFill="0" applyBorder="0" applyAlignment="0" applyProtection="0"/>
    <xf numFmtId="42" fontId="20" fillId="0" borderId="0" applyFont="0" applyFill="0" applyBorder="0" applyAlignment="0" applyProtection="0"/>
  </cellStyleXfs>
  <cellXfs count="15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4" fillId="2" borderId="6" xfId="0" applyNumberFormat="1" applyFont="1" applyFill="1" applyBorder="1" applyAlignment="1"/>
    <xf numFmtId="3" fontId="4" fillId="2" borderId="5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left"/>
    </xf>
    <xf numFmtId="49" fontId="4" fillId="2" borderId="56" xfId="0" applyNumberFormat="1" applyFont="1" applyFill="1" applyBorder="1" applyAlignment="1"/>
    <xf numFmtId="49" fontId="4" fillId="2" borderId="56" xfId="0" applyNumberFormat="1" applyFont="1" applyFill="1" applyBorder="1" applyAlignment="1">
      <alignment horizontal="center"/>
    </xf>
    <xf numFmtId="0" fontId="4" fillId="2" borderId="56" xfId="0" applyNumberFormat="1" applyFont="1" applyFill="1" applyBorder="1" applyAlignment="1"/>
    <xf numFmtId="41" fontId="13" fillId="8" borderId="55" xfId="1" applyFont="1" applyFill="1" applyBorder="1" applyAlignment="1">
      <alignment vertical="center"/>
    </xf>
    <xf numFmtId="41" fontId="4" fillId="2" borderId="6" xfId="1" applyFont="1" applyFill="1" applyBorder="1" applyAlignment="1"/>
    <xf numFmtId="3" fontId="0" fillId="0" borderId="0" xfId="0" applyNumberFormat="1" applyFont="1" applyAlignment="1"/>
    <xf numFmtId="49" fontId="2" fillId="2" borderId="6" xfId="0" applyNumberFormat="1" applyFont="1" applyFill="1" applyBorder="1" applyAlignment="1">
      <alignment horizontal="right" wrapText="1"/>
    </xf>
    <xf numFmtId="42" fontId="0" fillId="0" borderId="0" xfId="2" applyFont="1" applyAlignment="1"/>
    <xf numFmtId="49" fontId="4" fillId="0" borderId="6" xfId="0" applyNumberFormat="1" applyFont="1" applyFill="1" applyBorder="1" applyAlignment="1">
      <alignment horizontal="center" wrapText="1"/>
    </xf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3">
    <cellStyle name="Millares [0]" xfId="1" builtinId="6"/>
    <cellStyle name="Moneda [0]" xfId="2" builtinId="7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304800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9"/>
  <sheetViews>
    <sheetView showGridLines="0" tabSelected="1" topLeftCell="B73" zoomScaleNormal="100" workbookViewId="0">
      <selection activeCell="G78" sqref="G7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5" style="1" customWidth="1"/>
    <col min="3" max="3" width="19.28515625" style="1" customWidth="1"/>
    <col min="4" max="4" width="9.42578125" style="1" customWidth="1"/>
    <col min="5" max="5" width="14.42578125" style="1" customWidth="1"/>
    <col min="6" max="6" width="11" style="1" customWidth="1"/>
    <col min="7" max="7" width="12.28515625" style="1" customWidth="1"/>
    <col min="8" max="8" width="10.85546875" style="1" customWidth="1"/>
    <col min="9" max="9" width="11.85546875" style="1" bestFit="1" customWidth="1"/>
    <col min="10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46" t="s">
        <v>111</v>
      </c>
      <c r="D9" s="7"/>
      <c r="E9" s="153" t="s">
        <v>123</v>
      </c>
      <c r="F9" s="154"/>
      <c r="G9" s="8">
        <f>+D107</f>
        <v>3500</v>
      </c>
    </row>
    <row r="10" spans="1:7" ht="15" x14ac:dyDescent="0.25">
      <c r="A10" s="5"/>
      <c r="B10" s="9" t="s">
        <v>1</v>
      </c>
      <c r="C10" s="10" t="s">
        <v>122</v>
      </c>
      <c r="D10" s="11"/>
      <c r="E10" s="151" t="s">
        <v>2</v>
      </c>
      <c r="F10" s="152"/>
      <c r="G10" s="13" t="s">
        <v>133</v>
      </c>
    </row>
    <row r="11" spans="1:7" ht="18" customHeight="1" x14ac:dyDescent="0.25">
      <c r="A11" s="5"/>
      <c r="B11" s="9" t="s">
        <v>3</v>
      </c>
      <c r="C11" s="13" t="s">
        <v>137</v>
      </c>
      <c r="D11" s="11"/>
      <c r="E11" s="151" t="s">
        <v>112</v>
      </c>
      <c r="F11" s="152"/>
      <c r="G11" s="14">
        <v>3500</v>
      </c>
    </row>
    <row r="12" spans="1:7" ht="11.25" customHeight="1" x14ac:dyDescent="0.25">
      <c r="A12" s="5"/>
      <c r="B12" s="9" t="s">
        <v>4</v>
      </c>
      <c r="C12" s="15" t="s">
        <v>61</v>
      </c>
      <c r="D12" s="11"/>
      <c r="E12" s="16" t="s">
        <v>5</v>
      </c>
      <c r="F12" s="17"/>
      <c r="G12" s="18">
        <f>+G11*G9</f>
        <v>12250000</v>
      </c>
    </row>
    <row r="13" spans="1:7" ht="11.25" customHeight="1" x14ac:dyDescent="0.25">
      <c r="A13" s="5"/>
      <c r="B13" s="9" t="s">
        <v>6</v>
      </c>
      <c r="C13" s="13" t="s">
        <v>132</v>
      </c>
      <c r="D13" s="11"/>
      <c r="E13" s="151" t="s">
        <v>7</v>
      </c>
      <c r="F13" s="152"/>
      <c r="G13" s="15" t="s">
        <v>124</v>
      </c>
    </row>
    <row r="14" spans="1:7" ht="13.5" customHeight="1" x14ac:dyDescent="0.25">
      <c r="A14" s="5"/>
      <c r="B14" s="9" t="s">
        <v>8</v>
      </c>
      <c r="C14" s="13" t="s">
        <v>60</v>
      </c>
      <c r="D14" s="11"/>
      <c r="E14" s="151" t="s">
        <v>9</v>
      </c>
      <c r="F14" s="152"/>
      <c r="G14" s="13" t="s">
        <v>62</v>
      </c>
    </row>
    <row r="15" spans="1:7" ht="25.5" customHeight="1" x14ac:dyDescent="0.25">
      <c r="A15" s="5"/>
      <c r="B15" s="9" t="s">
        <v>10</v>
      </c>
      <c r="C15" s="19">
        <v>44228</v>
      </c>
      <c r="D15" s="11"/>
      <c r="E15" s="155" t="s">
        <v>11</v>
      </c>
      <c r="F15" s="156"/>
      <c r="G15" s="15" t="s">
        <v>135</v>
      </c>
    </row>
    <row r="16" spans="1:7" ht="12" customHeight="1" x14ac:dyDescent="0.25">
      <c r="A16" s="2"/>
      <c r="B16" s="20"/>
      <c r="C16" s="21"/>
      <c r="D16" s="22"/>
      <c r="E16" s="23"/>
      <c r="F16" s="23"/>
      <c r="G16" s="24"/>
    </row>
    <row r="17" spans="1:8" ht="12" customHeight="1" x14ac:dyDescent="0.25">
      <c r="A17" s="25"/>
      <c r="B17" s="157" t="s">
        <v>94</v>
      </c>
      <c r="C17" s="158"/>
      <c r="D17" s="158"/>
      <c r="E17" s="158"/>
      <c r="F17" s="158"/>
      <c r="G17" s="158"/>
    </row>
    <row r="18" spans="1:8" ht="12" customHeight="1" x14ac:dyDescent="0.25">
      <c r="A18" s="2"/>
      <c r="B18" s="26"/>
      <c r="C18" s="27"/>
      <c r="D18" s="27"/>
      <c r="E18" s="27"/>
      <c r="F18" s="28"/>
      <c r="G18" s="28"/>
    </row>
    <row r="19" spans="1:8" ht="12" customHeight="1" x14ac:dyDescent="0.25">
      <c r="A19" s="5"/>
      <c r="B19" s="29" t="s">
        <v>12</v>
      </c>
      <c r="C19" s="30"/>
      <c r="D19" s="31"/>
      <c r="E19" s="31"/>
      <c r="F19" s="31"/>
      <c r="G19" s="31"/>
    </row>
    <row r="20" spans="1:8" ht="24" customHeight="1" x14ac:dyDescent="0.25">
      <c r="A20" s="25"/>
      <c r="B20" s="32" t="s">
        <v>13</v>
      </c>
      <c r="C20" s="32" t="s">
        <v>14</v>
      </c>
      <c r="D20" s="32" t="s">
        <v>15</v>
      </c>
      <c r="E20" s="32" t="s">
        <v>16</v>
      </c>
      <c r="F20" s="32" t="s">
        <v>17</v>
      </c>
      <c r="G20" s="32" t="s">
        <v>18</v>
      </c>
    </row>
    <row r="21" spans="1:8" ht="12.75" customHeight="1" x14ac:dyDescent="0.25">
      <c r="A21" s="25"/>
      <c r="B21" s="134" t="s">
        <v>63</v>
      </c>
      <c r="C21" s="33" t="s">
        <v>19</v>
      </c>
      <c r="D21" s="34">
        <f>7000*4*5/20000</f>
        <v>7</v>
      </c>
      <c r="E21" s="134" t="s">
        <v>113</v>
      </c>
      <c r="F21" s="18">
        <v>20000</v>
      </c>
      <c r="G21" s="18">
        <f>+F21*D21</f>
        <v>140000</v>
      </c>
    </row>
    <row r="22" spans="1:8" ht="12.75" customHeight="1" x14ac:dyDescent="0.25">
      <c r="A22" s="25"/>
      <c r="B22" s="134" t="s">
        <v>95</v>
      </c>
      <c r="C22" s="33" t="s">
        <v>19</v>
      </c>
      <c r="D22" s="34">
        <v>2</v>
      </c>
      <c r="E22" s="134" t="s">
        <v>96</v>
      </c>
      <c r="F22" s="18">
        <v>20000</v>
      </c>
      <c r="G22" s="18">
        <f>+F22*D22</f>
        <v>40000</v>
      </c>
    </row>
    <row r="23" spans="1:8" ht="12.75" customHeight="1" x14ac:dyDescent="0.25">
      <c r="A23" s="25"/>
      <c r="B23" s="12" t="s">
        <v>64</v>
      </c>
      <c r="C23" s="33" t="s">
        <v>19</v>
      </c>
      <c r="D23" s="34">
        <v>3</v>
      </c>
      <c r="E23" s="12" t="s">
        <v>97</v>
      </c>
      <c r="F23" s="18">
        <v>20000</v>
      </c>
      <c r="G23" s="18">
        <f t="shared" ref="G23:G26" si="0">+F23*D23</f>
        <v>60000</v>
      </c>
    </row>
    <row r="24" spans="1:8" ht="12.75" customHeight="1" x14ac:dyDescent="0.25">
      <c r="A24" s="25"/>
      <c r="B24" s="134" t="s">
        <v>125</v>
      </c>
      <c r="C24" s="33" t="s">
        <v>19</v>
      </c>
      <c r="D24" s="34">
        <v>5</v>
      </c>
      <c r="E24" s="134" t="s">
        <v>126</v>
      </c>
      <c r="F24" s="18">
        <v>20000</v>
      </c>
      <c r="G24" s="18">
        <f t="shared" si="0"/>
        <v>100000</v>
      </c>
    </row>
    <row r="25" spans="1:8" ht="12.75" customHeight="1" x14ac:dyDescent="0.25">
      <c r="A25" s="25"/>
      <c r="B25" s="134" t="s">
        <v>65</v>
      </c>
      <c r="C25" s="33" t="s">
        <v>19</v>
      </c>
      <c r="D25" s="34">
        <f>500*5*2/100</f>
        <v>50</v>
      </c>
      <c r="E25" s="134" t="s">
        <v>127</v>
      </c>
      <c r="F25" s="18">
        <v>20000</v>
      </c>
      <c r="G25" s="18">
        <f t="shared" si="0"/>
        <v>1000000</v>
      </c>
    </row>
    <row r="26" spans="1:8" ht="12.75" customHeight="1" x14ac:dyDescent="0.25">
      <c r="A26" s="25"/>
      <c r="B26" s="139" t="s">
        <v>80</v>
      </c>
      <c r="C26" s="33" t="s">
        <v>19</v>
      </c>
      <c r="D26" s="34">
        <v>30</v>
      </c>
      <c r="E26" s="134" t="s">
        <v>97</v>
      </c>
      <c r="F26" s="18">
        <f>+F24</f>
        <v>20000</v>
      </c>
      <c r="G26" s="18">
        <f t="shared" si="0"/>
        <v>600000</v>
      </c>
    </row>
    <row r="27" spans="1:8" ht="12.75" customHeight="1" x14ac:dyDescent="0.25">
      <c r="A27" s="25"/>
      <c r="B27" s="139" t="s">
        <v>81</v>
      </c>
      <c r="C27" s="33" t="s">
        <v>19</v>
      </c>
      <c r="D27" s="34">
        <f>30000*5/20000</f>
        <v>7.5</v>
      </c>
      <c r="E27" s="134" t="s">
        <v>126</v>
      </c>
      <c r="F27" s="18">
        <v>20000</v>
      </c>
      <c r="G27" s="18">
        <f t="shared" ref="G27" si="1">+F27*D27</f>
        <v>150000</v>
      </c>
    </row>
    <row r="28" spans="1:8" ht="12.75" customHeight="1" x14ac:dyDescent="0.25">
      <c r="A28" s="25"/>
      <c r="B28" s="35" t="s">
        <v>20</v>
      </c>
      <c r="C28" s="36"/>
      <c r="D28" s="36"/>
      <c r="E28" s="36"/>
      <c r="F28" s="37"/>
      <c r="G28" s="38">
        <f>SUM(G23:G27)</f>
        <v>1910000</v>
      </c>
      <c r="H28" s="145"/>
    </row>
    <row r="29" spans="1:8" ht="12" customHeight="1" x14ac:dyDescent="0.25">
      <c r="A29" s="2"/>
      <c r="B29" s="26"/>
      <c r="C29" s="28"/>
      <c r="D29" s="28"/>
      <c r="E29" s="28"/>
      <c r="F29" s="39"/>
      <c r="G29" s="39"/>
    </row>
    <row r="30" spans="1:8" ht="12" customHeight="1" x14ac:dyDescent="0.25">
      <c r="A30" s="5"/>
      <c r="B30" s="40" t="s">
        <v>21</v>
      </c>
      <c r="C30" s="41"/>
      <c r="D30" s="42"/>
      <c r="E30" s="42"/>
      <c r="F30" s="43"/>
      <c r="G30" s="43"/>
    </row>
    <row r="31" spans="1:8" ht="24" customHeight="1" x14ac:dyDescent="0.25">
      <c r="A31" s="5"/>
      <c r="B31" s="44" t="s">
        <v>13</v>
      </c>
      <c r="C31" s="45" t="s">
        <v>14</v>
      </c>
      <c r="D31" s="45" t="s">
        <v>15</v>
      </c>
      <c r="E31" s="44" t="s">
        <v>16</v>
      </c>
      <c r="F31" s="45" t="s">
        <v>17</v>
      </c>
      <c r="G31" s="44" t="s">
        <v>18</v>
      </c>
    </row>
    <row r="32" spans="1:8" ht="12" customHeight="1" x14ac:dyDescent="0.25">
      <c r="A32" s="5"/>
      <c r="B32" s="46"/>
      <c r="C32" s="47"/>
      <c r="D32" s="47"/>
      <c r="E32" s="47"/>
      <c r="F32" s="46"/>
      <c r="G32" s="46"/>
    </row>
    <row r="33" spans="1:11" ht="12" customHeight="1" x14ac:dyDescent="0.25">
      <c r="A33" s="5"/>
      <c r="B33" s="48" t="s">
        <v>22</v>
      </c>
      <c r="C33" s="49"/>
      <c r="D33" s="49"/>
      <c r="E33" s="49"/>
      <c r="F33" s="50"/>
      <c r="G33" s="50"/>
    </row>
    <row r="34" spans="1:11" ht="12" customHeight="1" x14ac:dyDescent="0.25">
      <c r="A34" s="2"/>
      <c r="B34" s="51"/>
      <c r="C34" s="52"/>
      <c r="D34" s="52"/>
      <c r="E34" s="52"/>
      <c r="F34" s="53"/>
      <c r="G34" s="53"/>
    </row>
    <row r="35" spans="1:11" ht="12" customHeight="1" x14ac:dyDescent="0.25">
      <c r="A35" s="5"/>
      <c r="B35" s="40" t="s">
        <v>23</v>
      </c>
      <c r="C35" s="41"/>
      <c r="D35" s="42"/>
      <c r="E35" s="42"/>
      <c r="F35" s="43"/>
      <c r="G35" s="43"/>
    </row>
    <row r="36" spans="1:11" ht="24" customHeight="1" x14ac:dyDescent="0.25">
      <c r="A36" s="5"/>
      <c r="B36" s="54" t="s">
        <v>13</v>
      </c>
      <c r="C36" s="54" t="s">
        <v>14</v>
      </c>
      <c r="D36" s="54" t="s">
        <v>15</v>
      </c>
      <c r="E36" s="54" t="s">
        <v>16</v>
      </c>
      <c r="F36" s="55" t="s">
        <v>17</v>
      </c>
      <c r="G36" s="54" t="s">
        <v>18</v>
      </c>
    </row>
    <row r="37" spans="1:11" ht="12.75" customHeight="1" x14ac:dyDescent="0.25">
      <c r="A37" s="25"/>
      <c r="B37" s="12" t="s">
        <v>66</v>
      </c>
      <c r="C37" s="148" t="s">
        <v>136</v>
      </c>
      <c r="D37" s="34">
        <v>1</v>
      </c>
      <c r="E37" s="15" t="s">
        <v>115</v>
      </c>
      <c r="F37" s="18">
        <v>140000</v>
      </c>
      <c r="G37" s="18">
        <f>+F37*D37</f>
        <v>140000</v>
      </c>
    </row>
    <row r="38" spans="1:11" ht="12.75" customHeight="1" x14ac:dyDescent="0.25">
      <c r="A38" s="5"/>
      <c r="B38" s="56" t="s">
        <v>24</v>
      </c>
      <c r="C38" s="57"/>
      <c r="D38" s="57"/>
      <c r="E38" s="57"/>
      <c r="F38" s="58"/>
      <c r="G38" s="59">
        <f>SUM(G37:G37)</f>
        <v>140000</v>
      </c>
    </row>
    <row r="39" spans="1:11" ht="12" customHeight="1" x14ac:dyDescent="0.25">
      <c r="A39" s="2"/>
      <c r="B39" s="51"/>
      <c r="C39" s="52"/>
      <c r="D39" s="52"/>
      <c r="E39" s="52"/>
      <c r="F39" s="53"/>
      <c r="G39" s="53"/>
    </row>
    <row r="40" spans="1:11" ht="12" customHeight="1" x14ac:dyDescent="0.25">
      <c r="A40" s="5"/>
      <c r="B40" s="40" t="s">
        <v>25</v>
      </c>
      <c r="C40" s="41"/>
      <c r="D40" s="42"/>
      <c r="E40" s="42"/>
      <c r="F40" s="43"/>
      <c r="G40" s="43"/>
    </row>
    <row r="41" spans="1:11" ht="24" customHeight="1" x14ac:dyDescent="0.25">
      <c r="A41" s="5"/>
      <c r="B41" s="55" t="s">
        <v>26</v>
      </c>
      <c r="C41" s="55" t="s">
        <v>27</v>
      </c>
      <c r="D41" s="55" t="s">
        <v>28</v>
      </c>
      <c r="E41" s="55" t="s">
        <v>16</v>
      </c>
      <c r="F41" s="55" t="s">
        <v>17</v>
      </c>
      <c r="G41" s="55" t="s">
        <v>18</v>
      </c>
      <c r="K41" s="133"/>
    </row>
    <row r="42" spans="1:11" ht="12.75" customHeight="1" x14ac:dyDescent="0.25">
      <c r="A42" s="25"/>
      <c r="B42" s="135" t="s">
        <v>114</v>
      </c>
      <c r="C42" s="64" t="s">
        <v>68</v>
      </c>
      <c r="D42" s="136">
        <f>1000*4*5</f>
        <v>20000</v>
      </c>
      <c r="E42" s="64" t="s">
        <v>98</v>
      </c>
      <c r="F42" s="62">
        <v>40</v>
      </c>
      <c r="G42" s="62">
        <f>+F42*D42</f>
        <v>800000</v>
      </c>
    </row>
    <row r="43" spans="1:11" ht="12.75" customHeight="1" x14ac:dyDescent="0.25">
      <c r="A43" s="25"/>
      <c r="B43" s="63" t="s">
        <v>29</v>
      </c>
      <c r="C43" s="64"/>
      <c r="D43" s="17"/>
      <c r="E43" s="64"/>
      <c r="F43" s="62"/>
      <c r="G43" s="62"/>
    </row>
    <row r="44" spans="1:11" ht="12.75" customHeight="1" x14ac:dyDescent="0.25">
      <c r="A44" s="25"/>
      <c r="B44" s="135" t="s">
        <v>69</v>
      </c>
      <c r="C44" s="64" t="s">
        <v>30</v>
      </c>
      <c r="D44" s="136">
        <v>50</v>
      </c>
      <c r="E44" s="64" t="s">
        <v>67</v>
      </c>
      <c r="F44" s="62">
        <v>1576</v>
      </c>
      <c r="G44" s="62">
        <f>+F44*D44</f>
        <v>78800</v>
      </c>
    </row>
    <row r="45" spans="1:11" ht="12.75" customHeight="1" x14ac:dyDescent="0.25">
      <c r="A45" s="25"/>
      <c r="B45" s="135" t="s">
        <v>70</v>
      </c>
      <c r="C45" s="64" t="s">
        <v>30</v>
      </c>
      <c r="D45" s="136">
        <v>25</v>
      </c>
      <c r="E45" s="64" t="s">
        <v>67</v>
      </c>
      <c r="F45" s="62">
        <v>475</v>
      </c>
      <c r="G45" s="62">
        <f>+F45*D45</f>
        <v>11875</v>
      </c>
    </row>
    <row r="46" spans="1:11" ht="12.75" customHeight="1" x14ac:dyDescent="0.25">
      <c r="A46" s="25"/>
      <c r="B46" s="135" t="s">
        <v>71</v>
      </c>
      <c r="C46" s="60" t="s">
        <v>30</v>
      </c>
      <c r="D46" s="61">
        <v>25</v>
      </c>
      <c r="E46" s="60" t="s">
        <v>67</v>
      </c>
      <c r="F46" s="62">
        <v>420</v>
      </c>
      <c r="G46" s="62">
        <f>(D46*F46)</f>
        <v>10500</v>
      </c>
    </row>
    <row r="47" spans="1:11" ht="12.75" customHeight="1" x14ac:dyDescent="0.25">
      <c r="A47" s="25"/>
      <c r="B47" s="135" t="s">
        <v>72</v>
      </c>
      <c r="C47" s="60" t="s">
        <v>31</v>
      </c>
      <c r="D47" s="61">
        <v>25</v>
      </c>
      <c r="E47" s="60" t="s">
        <v>67</v>
      </c>
      <c r="F47" s="62">
        <f>31840*1.19/20</f>
        <v>1894.48</v>
      </c>
      <c r="G47" s="62">
        <f>(D47*F47)</f>
        <v>47362</v>
      </c>
    </row>
    <row r="48" spans="1:11" ht="12.75" customHeight="1" x14ac:dyDescent="0.25">
      <c r="A48" s="25"/>
      <c r="B48" s="135" t="s">
        <v>73</v>
      </c>
      <c r="C48" s="60" t="s">
        <v>30</v>
      </c>
      <c r="D48" s="61">
        <v>50</v>
      </c>
      <c r="E48" s="60" t="s">
        <v>67</v>
      </c>
      <c r="F48" s="62">
        <f>7585*1.19/25</f>
        <v>361.04599999999999</v>
      </c>
      <c r="G48" s="62">
        <f>+F48*D48</f>
        <v>18052.3</v>
      </c>
    </row>
    <row r="49" spans="1:7" ht="12.75" customHeight="1" x14ac:dyDescent="0.25">
      <c r="A49" s="25"/>
      <c r="B49" s="135" t="s">
        <v>107</v>
      </c>
      <c r="C49" s="60" t="s">
        <v>108</v>
      </c>
      <c r="D49" s="61">
        <v>1</v>
      </c>
      <c r="E49" s="60" t="s">
        <v>67</v>
      </c>
      <c r="F49" s="62">
        <f>34000*1.19</f>
        <v>40460</v>
      </c>
      <c r="G49" s="62">
        <f>+F49*D49</f>
        <v>40460</v>
      </c>
    </row>
    <row r="50" spans="1:7" ht="12.75" customHeight="1" x14ac:dyDescent="0.25">
      <c r="A50" s="25"/>
      <c r="B50" s="63" t="s">
        <v>32</v>
      </c>
      <c r="C50" s="64"/>
      <c r="D50" s="17"/>
      <c r="E50" s="64"/>
      <c r="F50" s="62"/>
      <c r="G50" s="62"/>
    </row>
    <row r="51" spans="1:7" ht="12.75" customHeight="1" x14ac:dyDescent="0.25">
      <c r="A51" s="25"/>
      <c r="B51" s="16" t="s">
        <v>74</v>
      </c>
      <c r="C51" s="60" t="s">
        <v>75</v>
      </c>
      <c r="D51" s="61">
        <v>1</v>
      </c>
      <c r="E51" s="60" t="s">
        <v>67</v>
      </c>
      <c r="F51" s="62">
        <v>18500</v>
      </c>
      <c r="G51" s="62">
        <f>+F51*D51</f>
        <v>18500</v>
      </c>
    </row>
    <row r="52" spans="1:7" ht="12.75" customHeight="1" x14ac:dyDescent="0.25">
      <c r="A52" s="25"/>
      <c r="B52" s="16" t="s">
        <v>76</v>
      </c>
      <c r="C52" s="60" t="s">
        <v>77</v>
      </c>
      <c r="D52" s="61">
        <v>2</v>
      </c>
      <c r="E52" s="60" t="s">
        <v>67</v>
      </c>
      <c r="F52" s="62">
        <f>49740*1.19/5</f>
        <v>11838.119999999999</v>
      </c>
      <c r="G52" s="62">
        <f>+F52*D52</f>
        <v>23676.239999999998</v>
      </c>
    </row>
    <row r="53" spans="1:7" ht="12.75" customHeight="1" x14ac:dyDescent="0.25">
      <c r="A53" s="25"/>
      <c r="B53" s="63" t="s">
        <v>89</v>
      </c>
      <c r="C53" s="64"/>
      <c r="D53" s="17"/>
      <c r="E53" s="64"/>
      <c r="F53" s="62"/>
      <c r="G53" s="62"/>
    </row>
    <row r="54" spans="1:7" ht="12.75" customHeight="1" x14ac:dyDescent="0.25">
      <c r="A54" s="25"/>
      <c r="B54" s="135" t="s">
        <v>85</v>
      </c>
      <c r="C54" s="60" t="s">
        <v>86</v>
      </c>
      <c r="D54" s="61">
        <v>0.5</v>
      </c>
      <c r="E54" s="60" t="s">
        <v>67</v>
      </c>
      <c r="F54" s="62">
        <v>66000</v>
      </c>
      <c r="G54" s="144">
        <f t="shared" ref="G54:G59" si="2">+F54*D54</f>
        <v>33000</v>
      </c>
    </row>
    <row r="55" spans="1:7" ht="12.75" customHeight="1" x14ac:dyDescent="0.25">
      <c r="A55" s="25"/>
      <c r="B55" s="135" t="s">
        <v>78</v>
      </c>
      <c r="C55" s="60" t="s">
        <v>86</v>
      </c>
      <c r="D55" s="61">
        <v>1</v>
      </c>
      <c r="E55" s="60" t="s">
        <v>67</v>
      </c>
      <c r="F55" s="62">
        <f>8690*1.19</f>
        <v>10341.1</v>
      </c>
      <c r="G55" s="144">
        <f t="shared" si="2"/>
        <v>10341.1</v>
      </c>
    </row>
    <row r="56" spans="1:7" ht="12.75" customHeight="1" x14ac:dyDescent="0.25">
      <c r="A56" s="25"/>
      <c r="B56" s="135" t="s">
        <v>87</v>
      </c>
      <c r="C56" s="60" t="s">
        <v>88</v>
      </c>
      <c r="D56" s="61">
        <v>1</v>
      </c>
      <c r="E56" s="60" t="s">
        <v>67</v>
      </c>
      <c r="F56" s="62">
        <v>18500</v>
      </c>
      <c r="G56" s="144">
        <f t="shared" si="2"/>
        <v>18500</v>
      </c>
    </row>
    <row r="57" spans="1:7" ht="12.75" customHeight="1" x14ac:dyDescent="0.25">
      <c r="A57" s="25"/>
      <c r="B57" s="135" t="s">
        <v>116</v>
      </c>
      <c r="C57" s="60" t="s">
        <v>117</v>
      </c>
      <c r="D57" s="61">
        <v>1</v>
      </c>
      <c r="E57" s="60" t="s">
        <v>118</v>
      </c>
      <c r="F57" s="62">
        <v>162000</v>
      </c>
      <c r="G57" s="144">
        <f t="shared" si="2"/>
        <v>162000</v>
      </c>
    </row>
    <row r="58" spans="1:7" ht="12.75" customHeight="1" x14ac:dyDescent="0.25">
      <c r="A58" s="25"/>
      <c r="B58" s="135" t="s">
        <v>102</v>
      </c>
      <c r="C58" s="60" t="s">
        <v>86</v>
      </c>
      <c r="D58" s="61">
        <v>0.5</v>
      </c>
      <c r="E58" s="60" t="s">
        <v>67</v>
      </c>
      <c r="F58" s="62">
        <v>56474</v>
      </c>
      <c r="G58" s="144">
        <f t="shared" si="2"/>
        <v>28237</v>
      </c>
    </row>
    <row r="59" spans="1:7" ht="12.75" customHeight="1" x14ac:dyDescent="0.25">
      <c r="A59" s="25"/>
      <c r="B59" s="135" t="s">
        <v>106</v>
      </c>
      <c r="C59" s="60" t="s">
        <v>86</v>
      </c>
      <c r="D59" s="61">
        <v>1</v>
      </c>
      <c r="E59" s="60" t="s">
        <v>67</v>
      </c>
      <c r="F59" s="62">
        <f>12550*1.19</f>
        <v>14934.5</v>
      </c>
      <c r="G59" s="144">
        <f t="shared" si="2"/>
        <v>14934.5</v>
      </c>
    </row>
    <row r="60" spans="1:7" ht="12.75" customHeight="1" x14ac:dyDescent="0.25">
      <c r="A60" s="25"/>
      <c r="B60" s="135" t="s">
        <v>119</v>
      </c>
      <c r="C60" s="60" t="s">
        <v>117</v>
      </c>
      <c r="D60" s="61">
        <v>1</v>
      </c>
      <c r="E60" s="60" t="s">
        <v>118</v>
      </c>
      <c r="F60" s="62">
        <v>35000</v>
      </c>
      <c r="G60" s="144">
        <f>+F60+D60</f>
        <v>35001</v>
      </c>
    </row>
    <row r="61" spans="1:7" ht="12.75" customHeight="1" x14ac:dyDescent="0.25">
      <c r="A61" s="25"/>
      <c r="B61" s="137" t="s">
        <v>130</v>
      </c>
      <c r="C61" s="60" t="s">
        <v>131</v>
      </c>
      <c r="D61" s="61">
        <f>120*30*4*5/1000/20</f>
        <v>3.6</v>
      </c>
      <c r="E61" s="60" t="s">
        <v>115</v>
      </c>
      <c r="F61" s="62">
        <f>2650*1.19*20</f>
        <v>63070</v>
      </c>
      <c r="G61" s="144">
        <f>+F61*D61</f>
        <v>227052</v>
      </c>
    </row>
    <row r="62" spans="1:7" ht="12.75" customHeight="1" x14ac:dyDescent="0.25">
      <c r="A62" s="25"/>
      <c r="B62" s="63" t="s">
        <v>34</v>
      </c>
      <c r="C62" s="60"/>
      <c r="D62" s="61"/>
      <c r="E62" s="60"/>
      <c r="F62" s="62"/>
      <c r="G62" s="61"/>
    </row>
    <row r="63" spans="1:7" ht="12.75" customHeight="1" x14ac:dyDescent="0.25">
      <c r="A63" s="25"/>
      <c r="B63" s="137" t="s">
        <v>128</v>
      </c>
      <c r="C63" s="60" t="s">
        <v>129</v>
      </c>
      <c r="D63" s="61">
        <v>5</v>
      </c>
      <c r="E63" s="60" t="s">
        <v>115</v>
      </c>
      <c r="F63" s="62">
        <v>12000</v>
      </c>
      <c r="G63" s="144">
        <f>+F63*D63</f>
        <v>60000</v>
      </c>
    </row>
    <row r="64" spans="1:7" ht="12.75" customHeight="1" x14ac:dyDescent="0.25">
      <c r="A64" s="25"/>
      <c r="B64" s="135" t="s">
        <v>105</v>
      </c>
      <c r="C64" s="60" t="s">
        <v>86</v>
      </c>
      <c r="D64" s="61">
        <v>1</v>
      </c>
      <c r="E64" s="60" t="s">
        <v>67</v>
      </c>
      <c r="F64" s="62">
        <f>22914*1.19</f>
        <v>27267.66</v>
      </c>
      <c r="G64" s="144">
        <f t="shared" ref="G64:G72" si="3">+F64*D64</f>
        <v>27267.66</v>
      </c>
    </row>
    <row r="65" spans="1:7" ht="12.75" customHeight="1" x14ac:dyDescent="0.25">
      <c r="A65" s="25"/>
      <c r="B65" s="135" t="s">
        <v>104</v>
      </c>
      <c r="C65" s="60" t="s">
        <v>86</v>
      </c>
      <c r="D65" s="61">
        <v>2</v>
      </c>
      <c r="E65" s="60" t="s">
        <v>67</v>
      </c>
      <c r="F65" s="62">
        <f>128025*1.19/20</f>
        <v>7617.4875000000002</v>
      </c>
      <c r="G65" s="62">
        <f t="shared" si="3"/>
        <v>15234.975</v>
      </c>
    </row>
    <row r="66" spans="1:7" ht="12.75" customHeight="1" x14ac:dyDescent="0.25">
      <c r="A66" s="25"/>
      <c r="B66" s="135" t="s">
        <v>103</v>
      </c>
      <c r="C66" s="60" t="s">
        <v>77</v>
      </c>
      <c r="D66" s="61">
        <v>2</v>
      </c>
      <c r="E66" s="60" t="s">
        <v>67</v>
      </c>
      <c r="F66" s="62">
        <v>16800</v>
      </c>
      <c r="G66" s="62">
        <f t="shared" si="3"/>
        <v>33600</v>
      </c>
    </row>
    <row r="67" spans="1:7" ht="12.75" customHeight="1" x14ac:dyDescent="0.25">
      <c r="A67" s="25"/>
      <c r="B67" s="135" t="s">
        <v>79</v>
      </c>
      <c r="C67" s="60" t="s">
        <v>91</v>
      </c>
      <c r="D67" s="61">
        <v>1</v>
      </c>
      <c r="E67" s="60" t="s">
        <v>67</v>
      </c>
      <c r="F67" s="62">
        <f>+(22500+5730)*1.19</f>
        <v>33593.699999999997</v>
      </c>
      <c r="G67" s="62">
        <f t="shared" si="3"/>
        <v>33593.699999999997</v>
      </c>
    </row>
    <row r="68" spans="1:7" ht="12.75" customHeight="1" x14ac:dyDescent="0.25">
      <c r="A68" s="25"/>
      <c r="B68" s="135" t="s">
        <v>110</v>
      </c>
      <c r="C68" s="60" t="s">
        <v>109</v>
      </c>
      <c r="D68" s="61">
        <v>1.5</v>
      </c>
      <c r="E68" s="60" t="s">
        <v>83</v>
      </c>
      <c r="F68" s="62">
        <v>195000</v>
      </c>
      <c r="G68" s="62">
        <f t="shared" si="3"/>
        <v>292500</v>
      </c>
    </row>
    <row r="69" spans="1:7" ht="12.75" customHeight="1" x14ac:dyDescent="0.25">
      <c r="A69" s="25"/>
      <c r="B69" s="135" t="s">
        <v>82</v>
      </c>
      <c r="C69" s="60" t="s">
        <v>84</v>
      </c>
      <c r="D69" s="61">
        <v>0.5</v>
      </c>
      <c r="E69" s="60" t="s">
        <v>83</v>
      </c>
      <c r="F69" s="62">
        <f>15000*1.19</f>
        <v>17850</v>
      </c>
      <c r="G69" s="62">
        <f t="shared" si="3"/>
        <v>8925</v>
      </c>
    </row>
    <row r="70" spans="1:7" ht="12.75" customHeight="1" x14ac:dyDescent="0.25">
      <c r="A70" s="25"/>
      <c r="B70" s="140" t="s">
        <v>92</v>
      </c>
      <c r="C70" s="141" t="s">
        <v>93</v>
      </c>
      <c r="D70" s="142">
        <f>32*4*4*5</f>
        <v>2560</v>
      </c>
      <c r="E70" s="141" t="s">
        <v>83</v>
      </c>
      <c r="F70" s="138">
        <f>188590/3962</f>
        <v>47.599697122665319</v>
      </c>
      <c r="G70" s="138">
        <f t="shared" si="3"/>
        <v>121855.22463402321</v>
      </c>
    </row>
    <row r="71" spans="1:7" ht="12.75" customHeight="1" x14ac:dyDescent="0.25">
      <c r="A71" s="25"/>
      <c r="B71" s="140" t="s">
        <v>100</v>
      </c>
      <c r="C71" s="141" t="s">
        <v>101</v>
      </c>
      <c r="D71" s="142">
        <v>1</v>
      </c>
      <c r="E71" s="141" t="s">
        <v>67</v>
      </c>
      <c r="F71" s="138">
        <v>67973</v>
      </c>
      <c r="G71" s="138">
        <f t="shared" si="3"/>
        <v>67973</v>
      </c>
    </row>
    <row r="72" spans="1:7" ht="12.75" customHeight="1" x14ac:dyDescent="0.25">
      <c r="A72" s="25"/>
      <c r="B72" s="65" t="s">
        <v>99</v>
      </c>
      <c r="C72" s="66" t="s">
        <v>90</v>
      </c>
      <c r="D72" s="67">
        <v>12</v>
      </c>
      <c r="E72" s="66" t="s">
        <v>67</v>
      </c>
      <c r="F72" s="68">
        <f>150000/40*5</f>
        <v>18750</v>
      </c>
      <c r="G72" s="68">
        <f t="shared" si="3"/>
        <v>225000</v>
      </c>
    </row>
    <row r="73" spans="1:7" ht="13.5" customHeight="1" x14ac:dyDescent="0.25">
      <c r="A73" s="5"/>
      <c r="B73" s="69" t="s">
        <v>33</v>
      </c>
      <c r="C73" s="70"/>
      <c r="D73" s="70"/>
      <c r="E73" s="70"/>
      <c r="F73" s="71"/>
      <c r="G73" s="72">
        <f>SUM(G42:G72)</f>
        <v>2464240.6996340235</v>
      </c>
    </row>
    <row r="74" spans="1:7" ht="12" customHeight="1" x14ac:dyDescent="0.25">
      <c r="A74" s="2"/>
      <c r="B74" s="51"/>
      <c r="C74" s="52"/>
      <c r="D74" s="52"/>
      <c r="E74" s="73"/>
      <c r="F74" s="53"/>
      <c r="G74" s="53"/>
    </row>
    <row r="75" spans="1:7" ht="12" customHeight="1" x14ac:dyDescent="0.25">
      <c r="A75" s="5"/>
      <c r="B75" s="40" t="s">
        <v>34</v>
      </c>
      <c r="C75" s="41"/>
      <c r="D75" s="42"/>
      <c r="E75" s="42"/>
      <c r="F75" s="43"/>
      <c r="G75" s="43"/>
    </row>
    <row r="76" spans="1:7" ht="24" customHeight="1" x14ac:dyDescent="0.25">
      <c r="A76" s="5"/>
      <c r="B76" s="54" t="s">
        <v>35</v>
      </c>
      <c r="C76" s="55" t="s">
        <v>27</v>
      </c>
      <c r="D76" s="55" t="s">
        <v>28</v>
      </c>
      <c r="E76" s="54" t="s">
        <v>16</v>
      </c>
      <c r="F76" s="55" t="s">
        <v>17</v>
      </c>
      <c r="G76" s="54" t="s">
        <v>18</v>
      </c>
    </row>
    <row r="77" spans="1:7" ht="12.75" customHeight="1" x14ac:dyDescent="0.25">
      <c r="A77" s="25"/>
      <c r="B77" s="134"/>
      <c r="C77" s="60"/>
      <c r="D77" s="62"/>
      <c r="E77" s="33"/>
      <c r="F77" s="74"/>
      <c r="G77" s="62"/>
    </row>
    <row r="78" spans="1:7" ht="13.5" customHeight="1" x14ac:dyDescent="0.25">
      <c r="A78" s="5"/>
      <c r="B78" s="75" t="s">
        <v>36</v>
      </c>
      <c r="C78" s="76"/>
      <c r="D78" s="76"/>
      <c r="E78" s="76"/>
      <c r="F78" s="77"/>
      <c r="G78" s="78"/>
    </row>
    <row r="79" spans="1:7" ht="12" customHeight="1" x14ac:dyDescent="0.25">
      <c r="A79" s="2"/>
      <c r="B79" s="95"/>
      <c r="C79" s="95"/>
      <c r="D79" s="95"/>
      <c r="E79" s="95"/>
      <c r="F79" s="96"/>
      <c r="G79" s="96"/>
    </row>
    <row r="80" spans="1:7" ht="12" customHeight="1" x14ac:dyDescent="0.25">
      <c r="A80" s="92"/>
      <c r="B80" s="97" t="s">
        <v>37</v>
      </c>
      <c r="C80" s="98"/>
      <c r="D80" s="98"/>
      <c r="E80" s="98"/>
      <c r="F80" s="98"/>
      <c r="G80" s="99">
        <f>G28+G38+G73+G78</f>
        <v>4514240.699634023</v>
      </c>
    </row>
    <row r="81" spans="1:9" ht="12" customHeight="1" x14ac:dyDescent="0.25">
      <c r="A81" s="92"/>
      <c r="B81" s="100" t="s">
        <v>38</v>
      </c>
      <c r="C81" s="80"/>
      <c r="D81" s="80"/>
      <c r="E81" s="80"/>
      <c r="F81" s="80"/>
      <c r="G81" s="101">
        <f>G80*0.05</f>
        <v>225712.03498170117</v>
      </c>
    </row>
    <row r="82" spans="1:9" ht="12" customHeight="1" x14ac:dyDescent="0.25">
      <c r="A82" s="92"/>
      <c r="B82" s="102" t="s">
        <v>39</v>
      </c>
      <c r="C82" s="79"/>
      <c r="D82" s="79"/>
      <c r="E82" s="79"/>
      <c r="F82" s="79"/>
      <c r="G82" s="103">
        <f>G81+G80</f>
        <v>4739952.7346157245</v>
      </c>
    </row>
    <row r="83" spans="1:9" ht="12" customHeight="1" x14ac:dyDescent="0.25">
      <c r="A83" s="92"/>
      <c r="B83" s="100" t="s">
        <v>40</v>
      </c>
      <c r="C83" s="80"/>
      <c r="D83" s="80"/>
      <c r="E83" s="80"/>
      <c r="F83" s="80"/>
      <c r="G83" s="101">
        <f>G12</f>
        <v>12250000</v>
      </c>
    </row>
    <row r="84" spans="1:9" ht="12" customHeight="1" x14ac:dyDescent="0.25">
      <c r="A84" s="92"/>
      <c r="B84" s="104" t="s">
        <v>41</v>
      </c>
      <c r="C84" s="105"/>
      <c r="D84" s="105"/>
      <c r="E84" s="105"/>
      <c r="F84" s="105"/>
      <c r="G84" s="106">
        <f>G83-G82</f>
        <v>7510047.2653842755</v>
      </c>
      <c r="I84" s="147"/>
    </row>
    <row r="85" spans="1:9" ht="12" customHeight="1" x14ac:dyDescent="0.25">
      <c r="A85" s="92"/>
      <c r="B85" s="93" t="s">
        <v>42</v>
      </c>
      <c r="C85" s="94"/>
      <c r="D85" s="94"/>
      <c r="E85" s="94"/>
      <c r="F85" s="94"/>
      <c r="G85" s="89">
        <f ca="1">+G84:G85/12</f>
        <v>0</v>
      </c>
    </row>
    <row r="86" spans="1:9" ht="12.75" customHeight="1" thickBot="1" x14ac:dyDescent="0.3">
      <c r="A86" s="92"/>
      <c r="B86" s="107"/>
      <c r="C86" s="94"/>
      <c r="D86" s="94"/>
      <c r="E86" s="94"/>
      <c r="F86" s="94"/>
      <c r="G86" s="89"/>
    </row>
    <row r="87" spans="1:9" ht="12" customHeight="1" x14ac:dyDescent="0.25">
      <c r="A87" s="92"/>
      <c r="B87" s="119" t="s">
        <v>43</v>
      </c>
      <c r="C87" s="120"/>
      <c r="D87" s="120"/>
      <c r="E87" s="120"/>
      <c r="F87" s="121"/>
      <c r="G87" s="89"/>
    </row>
    <row r="88" spans="1:9" ht="12" customHeight="1" x14ac:dyDescent="0.25">
      <c r="A88" s="92"/>
      <c r="B88" s="122" t="s">
        <v>44</v>
      </c>
      <c r="C88" s="91"/>
      <c r="D88" s="91"/>
      <c r="E88" s="91"/>
      <c r="F88" s="123"/>
      <c r="G88" s="89"/>
    </row>
    <row r="89" spans="1:9" ht="12" customHeight="1" x14ac:dyDescent="0.25">
      <c r="A89" s="92"/>
      <c r="B89" s="122" t="s">
        <v>45</v>
      </c>
      <c r="C89" s="91"/>
      <c r="D89" s="91"/>
      <c r="E89" s="91"/>
      <c r="F89" s="123"/>
      <c r="G89" s="89"/>
    </row>
    <row r="90" spans="1:9" ht="12" customHeight="1" x14ac:dyDescent="0.25">
      <c r="A90" s="92"/>
      <c r="B90" s="122" t="s">
        <v>46</v>
      </c>
      <c r="C90" s="91"/>
      <c r="D90" s="91"/>
      <c r="E90" s="91"/>
      <c r="F90" s="123"/>
      <c r="G90" s="89"/>
    </row>
    <row r="91" spans="1:9" ht="12" customHeight="1" x14ac:dyDescent="0.25">
      <c r="A91" s="92"/>
      <c r="B91" s="122" t="s">
        <v>47</v>
      </c>
      <c r="C91" s="91"/>
      <c r="D91" s="91"/>
      <c r="E91" s="91"/>
      <c r="F91" s="123"/>
      <c r="G91" s="89"/>
    </row>
    <row r="92" spans="1:9" ht="12" customHeight="1" x14ac:dyDescent="0.25">
      <c r="A92" s="92"/>
      <c r="B92" s="122" t="s">
        <v>48</v>
      </c>
      <c r="C92" s="91"/>
      <c r="D92" s="91"/>
      <c r="E92" s="91"/>
      <c r="F92" s="123"/>
      <c r="G92" s="89"/>
    </row>
    <row r="93" spans="1:9" ht="12.75" customHeight="1" thickBot="1" x14ac:dyDescent="0.3">
      <c r="A93" s="92"/>
      <c r="B93" s="124" t="s">
        <v>49</v>
      </c>
      <c r="C93" s="125"/>
      <c r="D93" s="125"/>
      <c r="E93" s="125"/>
      <c r="F93" s="126"/>
      <c r="G93" s="89"/>
    </row>
    <row r="94" spans="1:9" ht="12.75" customHeight="1" x14ac:dyDescent="0.25">
      <c r="A94" s="92"/>
      <c r="B94" s="117"/>
      <c r="C94" s="91"/>
      <c r="D94" s="91"/>
      <c r="E94" s="91"/>
      <c r="F94" s="91"/>
      <c r="G94" s="89"/>
    </row>
    <row r="95" spans="1:9" ht="15" customHeight="1" thickBot="1" x14ac:dyDescent="0.3">
      <c r="A95" s="92"/>
      <c r="B95" s="149" t="s">
        <v>50</v>
      </c>
      <c r="C95" s="150"/>
      <c r="D95" s="116"/>
      <c r="E95" s="82"/>
      <c r="F95" s="82"/>
      <c r="G95" s="89"/>
    </row>
    <row r="96" spans="1:9" ht="12" customHeight="1" x14ac:dyDescent="0.25">
      <c r="A96" s="92"/>
      <c r="B96" s="109" t="s">
        <v>35</v>
      </c>
      <c r="C96" s="83" t="s">
        <v>51</v>
      </c>
      <c r="D96" s="110" t="s">
        <v>52</v>
      </c>
      <c r="E96" s="82"/>
      <c r="F96" s="82"/>
      <c r="G96" s="89"/>
    </row>
    <row r="97" spans="1:7" ht="12" customHeight="1" x14ac:dyDescent="0.25">
      <c r="A97" s="92"/>
      <c r="B97" s="111" t="s">
        <v>53</v>
      </c>
      <c r="C97" s="84">
        <f>+G28</f>
        <v>1910000</v>
      </c>
      <c r="D97" s="112">
        <f>(C97/C103)</f>
        <v>0.40295760462996405</v>
      </c>
      <c r="E97" s="82"/>
      <c r="F97" s="82"/>
      <c r="G97" s="89"/>
    </row>
    <row r="98" spans="1:7" ht="12" customHeight="1" x14ac:dyDescent="0.25">
      <c r="A98" s="92"/>
      <c r="B98" s="111" t="s">
        <v>54</v>
      </c>
      <c r="C98" s="85">
        <f>+G33</f>
        <v>0</v>
      </c>
      <c r="D98" s="112">
        <v>0</v>
      </c>
      <c r="E98" s="82"/>
      <c r="F98" s="82"/>
      <c r="G98" s="89"/>
    </row>
    <row r="99" spans="1:7" ht="12" customHeight="1" x14ac:dyDescent="0.25">
      <c r="A99" s="92"/>
      <c r="B99" s="111" t="s">
        <v>55</v>
      </c>
      <c r="C99" s="84">
        <f>+G38</f>
        <v>140000</v>
      </c>
      <c r="D99" s="112">
        <f>(C99/C103)</f>
        <v>2.9536159501672758E-2</v>
      </c>
      <c r="E99" s="82"/>
      <c r="F99" s="82"/>
      <c r="G99" s="89"/>
    </row>
    <row r="100" spans="1:7" ht="12" customHeight="1" x14ac:dyDescent="0.25">
      <c r="A100" s="92"/>
      <c r="B100" s="111" t="s">
        <v>26</v>
      </c>
      <c r="C100" s="84">
        <f>+G73</f>
        <v>2464240.6996340235</v>
      </c>
      <c r="D100" s="112">
        <f>(C100/C103)</f>
        <v>0.51988718824931557</v>
      </c>
      <c r="E100" s="82"/>
      <c r="F100" s="82"/>
      <c r="G100" s="89"/>
    </row>
    <row r="101" spans="1:7" ht="12" customHeight="1" x14ac:dyDescent="0.25">
      <c r="A101" s="92"/>
      <c r="B101" s="111" t="s">
        <v>56</v>
      </c>
      <c r="C101" s="86">
        <f>+G78</f>
        <v>0</v>
      </c>
      <c r="D101" s="112">
        <f>(C101/C103)</f>
        <v>0</v>
      </c>
      <c r="E101" s="88"/>
      <c r="F101" s="88"/>
      <c r="G101" s="89"/>
    </row>
    <row r="102" spans="1:7" ht="12" customHeight="1" x14ac:dyDescent="0.25">
      <c r="A102" s="92"/>
      <c r="B102" s="111" t="s">
        <v>57</v>
      </c>
      <c r="C102" s="86">
        <f>+G81</f>
        <v>225712.03498170117</v>
      </c>
      <c r="D102" s="112">
        <f>(C102/C103)</f>
        <v>4.7619047619047623E-2</v>
      </c>
      <c r="E102" s="88"/>
      <c r="F102" s="88"/>
      <c r="G102" s="89"/>
    </row>
    <row r="103" spans="1:7" ht="12.75" customHeight="1" thickBot="1" x14ac:dyDescent="0.3">
      <c r="A103" s="92"/>
      <c r="B103" s="113" t="s">
        <v>58</v>
      </c>
      <c r="C103" s="114">
        <f>SUM(C97:C102)</f>
        <v>4739952.7346157245</v>
      </c>
      <c r="D103" s="115">
        <f>SUM(D97:D102)</f>
        <v>1</v>
      </c>
      <c r="E103" s="88"/>
      <c r="F103" s="88"/>
      <c r="G103" s="89"/>
    </row>
    <row r="104" spans="1:7" ht="12" customHeight="1" x14ac:dyDescent="0.25">
      <c r="A104" s="92"/>
      <c r="B104" s="107"/>
      <c r="C104" s="94"/>
      <c r="D104" s="94"/>
      <c r="E104" s="94"/>
      <c r="F104" s="94"/>
      <c r="G104" s="89"/>
    </row>
    <row r="105" spans="1:7" ht="12.75" customHeight="1" x14ac:dyDescent="0.25">
      <c r="A105" s="92"/>
      <c r="B105" s="108"/>
      <c r="C105" s="94"/>
      <c r="D105" s="94"/>
      <c r="E105" s="94"/>
      <c r="F105" s="94"/>
      <c r="G105" s="89"/>
    </row>
    <row r="106" spans="1:7" ht="12" customHeight="1" thickBot="1" x14ac:dyDescent="0.3">
      <c r="A106" s="81"/>
      <c r="B106" s="128"/>
      <c r="C106" s="129" t="s">
        <v>134</v>
      </c>
      <c r="D106" s="130"/>
      <c r="E106" s="131"/>
      <c r="F106" s="87"/>
      <c r="G106" s="89"/>
    </row>
    <row r="107" spans="1:7" ht="12" customHeight="1" thickBot="1" x14ac:dyDescent="0.3">
      <c r="A107" s="92"/>
      <c r="B107" s="132" t="s">
        <v>120</v>
      </c>
      <c r="C107" s="143">
        <f>500*5</f>
        <v>2500</v>
      </c>
      <c r="D107" s="143">
        <f>700*5</f>
        <v>3500</v>
      </c>
      <c r="E107" s="143">
        <f>800*5</f>
        <v>4000</v>
      </c>
      <c r="F107" s="127"/>
      <c r="G107" s="90"/>
    </row>
    <row r="108" spans="1:7" ht="12.75" customHeight="1" thickBot="1" x14ac:dyDescent="0.3">
      <c r="A108" s="92"/>
      <c r="B108" s="113" t="s">
        <v>121</v>
      </c>
      <c r="C108" s="114">
        <f>+C103/C107</f>
        <v>1895.9810938462899</v>
      </c>
      <c r="D108" s="114">
        <f>+C103/D107</f>
        <v>1354.272209890207</v>
      </c>
      <c r="E108" s="143">
        <f>+C103/E107</f>
        <v>1184.9881836539312</v>
      </c>
      <c r="F108" s="127"/>
      <c r="G108" s="90"/>
    </row>
    <row r="109" spans="1:7" ht="15.6" customHeight="1" x14ac:dyDescent="0.25">
      <c r="A109" s="92"/>
      <c r="B109" s="118" t="s">
        <v>59</v>
      </c>
      <c r="C109" s="91"/>
      <c r="D109" s="91"/>
      <c r="E109" s="91"/>
      <c r="F109" s="91"/>
      <c r="G109" s="91"/>
    </row>
  </sheetData>
  <mergeCells count="8">
    <mergeCell ref="B95:C9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2616C8-1A81-4B35-88BA-20BDFDCC70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5995E8-EC28-4B0B-8DDE-47840B69AC47}">
  <ds:schemaRefs>
    <ds:schemaRef ds:uri="1030f0af-99cb-42f1-88fc-acec73331192"/>
    <ds:schemaRef ds:uri="c5dbce2d-49dc-4afe-a5b0-d7fb7a901161"/>
    <ds:schemaRef ds:uri="http://purl.org/dc/elements/1.1/"/>
    <ds:schemaRef ds:uri="http://www.w3.org/XML/1998/namespace"/>
    <ds:schemaRef ds:uri="http://schemas.microsoft.com/sharepoint/v3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D770D16-FA3B-462B-962A-A1347560F3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LISIANTHUS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2021-04-06T13:39:29Z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