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Norte\"/>
    </mc:Choice>
  </mc:AlternateContent>
  <bookViews>
    <workbookView xWindow="0" yWindow="0" windowWidth="19200" windowHeight="11595"/>
  </bookViews>
  <sheets>
    <sheet name="Caso Base" sheetId="1" r:id="rId1"/>
    <sheet name="Escenarios" sheetId="2" r:id="rId2"/>
    <sheet name="Crédito" sheetId="4" r:id="rId3"/>
    <sheet name="Vacunas" sheetId="5" r:id="rId4"/>
    <sheet name="Valor Huevos" sheetId="6" r:id="rId5"/>
  </sheets>
  <definedNames>
    <definedName name="_xlnm.Print_Area" localSheetId="0">'Caso Base'!$D$6:$G$116</definedName>
    <definedName name="_xlnm.Print_Area" localSheetId="1">Escenarios!$B$1:$K$36</definedName>
    <definedName name="Aves_x_m_cuadr">'Caso Base'!$E$12</definedName>
    <definedName name="Consumo_alim_pollitas_hasta_madurez">'Caso Base'!$E$126</definedName>
    <definedName name="Cost_vacunas_porpollita">'Caso Base'!$G$50</definedName>
    <definedName name="Costo_alim_pollitas">'Caso Base'!$E$127</definedName>
    <definedName name="Costo_alim_ponedoras">'Caso Base'!$E$26</definedName>
    <definedName name="Costo_anual_agua">'Caso Base'!$G$105</definedName>
    <definedName name="Costo_anual_alim">'Caso Base'!$E$27</definedName>
    <definedName name="Costo_anual_alimxave">'Caso Base'!$E$27</definedName>
    <definedName name="Costo_anual_electricidad">'Caso Base'!$G$104</definedName>
    <definedName name="Costo_ave_ponedora">'Caso Base'!$E$19</definedName>
    <definedName name="Costo_const_m2">'Caso Base'!$G$92</definedName>
    <definedName name="Factor_postura_primer_año">'Caso Base'!$E$20</definedName>
    <definedName name="factor_postura_segundo_año">'Caso Base'!$E$21</definedName>
    <definedName name="Factor_sobrevivencia_segundo_año">'Caso Base'!$E$17</definedName>
    <definedName name="Num_avespor_m2">'Caso Base'!$E$12</definedName>
    <definedName name="Precio_aves">'Caso Base'!$F$95</definedName>
    <definedName name="precio_prom_veta_huevos">'Caso Base'!$E$16</definedName>
    <definedName name="Valor_dosis_BronqInfMA5">'Caso Base'!$E$31</definedName>
    <definedName name="Valor_dosis_DVEA">'Caso Base'!$E$39</definedName>
    <definedName name="valor_dosis_gumboro">'Caso Base'!$E$43</definedName>
    <definedName name="Valor_dosis_Laringotraq">'Caso Base'!$E$33</definedName>
    <definedName name="Valor_dosis_NewcastClone">'Caso Base'!$E$41</definedName>
    <definedName name="Valor_dosis_newcastle">'Caso Base'!$E$45</definedName>
    <definedName name="Valor_dosis_Salmonella">'Caso Base'!$E$37</definedName>
    <definedName name="Valor_dosis_Triple">'Caso Base'!$E$35</definedName>
    <definedName name="Valor_limp_guano">'Caso Base'!$G$108</definedName>
    <definedName name="Valor_veterinario">'Caso Base'!$G$109</definedName>
    <definedName name="Valor_vta_ave_vieja">'Caso Base'!$E$18</definedName>
  </definedNames>
  <calcPr calcId="152511"/>
</workbook>
</file>

<file path=xl/calcChain.xml><?xml version="1.0" encoding="utf-8"?>
<calcChain xmlns="http://schemas.openxmlformats.org/spreadsheetml/2006/main">
  <c r="G31" i="1" l="1"/>
  <c r="G39" i="1"/>
  <c r="G37" i="1"/>
  <c r="F133" i="1"/>
  <c r="F107" i="1"/>
  <c r="G49" i="1"/>
  <c r="G47" i="1"/>
  <c r="G45" i="1"/>
  <c r="G43" i="1"/>
  <c r="F115" i="1" l="1"/>
  <c r="G41" i="1"/>
  <c r="F106" i="1"/>
  <c r="G50" i="1" l="1"/>
  <c r="F132" i="1" s="1"/>
  <c r="C41" i="2" l="1"/>
  <c r="D41" i="2"/>
  <c r="E41" i="2"/>
  <c r="F41" i="2"/>
  <c r="G41" i="2"/>
  <c r="H41" i="2"/>
  <c r="I41" i="2"/>
  <c r="J41" i="2"/>
  <c r="K41" i="2"/>
  <c r="C43" i="2"/>
  <c r="D43" i="2"/>
  <c r="E43" i="2"/>
  <c r="F43" i="2"/>
  <c r="G43" i="2"/>
  <c r="H43" i="2"/>
  <c r="I43" i="2"/>
  <c r="J43" i="2"/>
  <c r="K43" i="2"/>
  <c r="C15" i="4" l="1"/>
  <c r="C14" i="4"/>
  <c r="C13" i="4"/>
  <c r="C12" i="4"/>
  <c r="C11" i="4"/>
  <c r="C10" i="4"/>
  <c r="C9" i="4"/>
  <c r="C8" i="4"/>
  <c r="C7" i="4"/>
  <c r="C6" i="4"/>
  <c r="C5" i="4"/>
  <c r="C4" i="4"/>
  <c r="B4" i="4"/>
  <c r="D4" i="4" s="1"/>
  <c r="D1" i="4"/>
  <c r="E4" i="4" l="1"/>
  <c r="H4" i="4" s="1"/>
  <c r="B5" i="4"/>
  <c r="C54" i="2"/>
  <c r="D54" i="2"/>
  <c r="E54" i="2"/>
  <c r="F54" i="2"/>
  <c r="G54" i="2"/>
  <c r="H54" i="2"/>
  <c r="I54" i="2"/>
  <c r="J54" i="2"/>
  <c r="K54" i="2"/>
  <c r="C60" i="2"/>
  <c r="D60" i="2"/>
  <c r="E60" i="2"/>
  <c r="F60" i="2"/>
  <c r="G60" i="2"/>
  <c r="H60" i="2"/>
  <c r="I60" i="2"/>
  <c r="J60" i="2"/>
  <c r="K60" i="2"/>
  <c r="C61" i="2"/>
  <c r="D61" i="2"/>
  <c r="E61" i="2"/>
  <c r="F61" i="2"/>
  <c r="G61" i="2"/>
  <c r="H61" i="2"/>
  <c r="I61" i="2"/>
  <c r="J61" i="2"/>
  <c r="K61" i="2"/>
  <c r="C64" i="2"/>
  <c r="D64" i="2"/>
  <c r="E64" i="2"/>
  <c r="F64" i="2"/>
  <c r="G64" i="2"/>
  <c r="H64" i="2"/>
  <c r="I64" i="2"/>
  <c r="J64" i="2"/>
  <c r="K64" i="2"/>
  <c r="K63" i="2" l="1"/>
  <c r="K65" i="2" s="1"/>
  <c r="G63" i="2"/>
  <c r="G65" i="2" s="1"/>
  <c r="C63" i="2"/>
  <c r="C65" i="2" s="1"/>
  <c r="J63" i="2"/>
  <c r="J65" i="2" s="1"/>
  <c r="H63" i="2"/>
  <c r="H65" i="2" s="1"/>
  <c r="F63" i="2"/>
  <c r="F65" i="2" s="1"/>
  <c r="D63" i="2"/>
  <c r="D65" i="2" s="1"/>
  <c r="I63" i="2"/>
  <c r="I65" i="2" s="1"/>
  <c r="E63" i="2"/>
  <c r="E65" i="2" s="1"/>
  <c r="D5" i="4"/>
  <c r="E5" i="4" s="1"/>
  <c r="H5" i="4" s="1"/>
  <c r="B6" i="4"/>
  <c r="E104" i="1"/>
  <c r="B7" i="4" l="1"/>
  <c r="D6" i="4"/>
  <c r="E6" i="4" s="1"/>
  <c r="H6" i="4" s="1"/>
  <c r="G134" i="1"/>
  <c r="D7" i="4" l="1"/>
  <c r="E7" i="4" s="1"/>
  <c r="H7" i="4" s="1"/>
  <c r="B8" i="4"/>
  <c r="G147" i="1"/>
  <c r="G151" i="1"/>
  <c r="G150" i="1"/>
  <c r="G133" i="1"/>
  <c r="G138" i="1"/>
  <c r="G137" i="1"/>
  <c r="G136" i="1"/>
  <c r="G135" i="1"/>
  <c r="E132" i="1"/>
  <c r="E131" i="1"/>
  <c r="E130" i="1"/>
  <c r="D8" i="4" l="1"/>
  <c r="E8" i="4" s="1"/>
  <c r="H8" i="4" s="1"/>
  <c r="B9" i="4"/>
  <c r="E126" i="1"/>
  <c r="G131" i="1" s="1"/>
  <c r="G130" i="1"/>
  <c r="D9" i="4" l="1"/>
  <c r="E9" i="4" s="1"/>
  <c r="H9" i="4" s="1"/>
  <c r="B10" i="4"/>
  <c r="I4" i="2"/>
  <c r="I42" i="2" s="1"/>
  <c r="J4" i="2"/>
  <c r="J42" i="2" s="1"/>
  <c r="K4" i="2"/>
  <c r="K42" i="2" s="1"/>
  <c r="I11" i="2"/>
  <c r="J11" i="2"/>
  <c r="K11" i="2"/>
  <c r="I30" i="2"/>
  <c r="J30" i="2"/>
  <c r="K30" i="2"/>
  <c r="I31" i="2"/>
  <c r="J31" i="2"/>
  <c r="K31" i="2"/>
  <c r="D31" i="2"/>
  <c r="E31" i="2"/>
  <c r="F31" i="2"/>
  <c r="G31" i="2"/>
  <c r="H31" i="2"/>
  <c r="C31" i="2"/>
  <c r="D30" i="2"/>
  <c r="E30" i="2"/>
  <c r="F30" i="2"/>
  <c r="G30" i="2"/>
  <c r="H30" i="2"/>
  <c r="C30" i="2"/>
  <c r="B11" i="4" l="1"/>
  <c r="D10" i="4"/>
  <c r="E10" i="4" s="1"/>
  <c r="H10" i="4" s="1"/>
  <c r="F33" i="2"/>
  <c r="C33" i="2"/>
  <c r="E33" i="2"/>
  <c r="H33" i="2"/>
  <c r="D33" i="2"/>
  <c r="G33" i="2"/>
  <c r="I33" i="2"/>
  <c r="K33" i="2"/>
  <c r="J33" i="2"/>
  <c r="E115" i="1"/>
  <c r="G115" i="1" s="1"/>
  <c r="G108" i="1"/>
  <c r="G109" i="1"/>
  <c r="G105" i="1"/>
  <c r="G104" i="1"/>
  <c r="E103" i="1"/>
  <c r="E25" i="1"/>
  <c r="E27" i="1" s="1"/>
  <c r="D52" i="2" l="1"/>
  <c r="F52" i="2"/>
  <c r="H52" i="2"/>
  <c r="J52" i="2"/>
  <c r="C52" i="2"/>
  <c r="E52" i="2"/>
  <c r="G52" i="2"/>
  <c r="I52" i="2"/>
  <c r="K52" i="2"/>
  <c r="C49" i="2"/>
  <c r="E49" i="2"/>
  <c r="G49" i="2"/>
  <c r="I49" i="2"/>
  <c r="K49" i="2"/>
  <c r="D49" i="2"/>
  <c r="F49" i="2"/>
  <c r="H49" i="2"/>
  <c r="J49" i="2"/>
  <c r="D50" i="2"/>
  <c r="F50" i="2"/>
  <c r="H50" i="2"/>
  <c r="J50" i="2"/>
  <c r="C50" i="2"/>
  <c r="E50" i="2"/>
  <c r="G50" i="2"/>
  <c r="I50" i="2"/>
  <c r="K50" i="2"/>
  <c r="C47" i="2"/>
  <c r="E47" i="2"/>
  <c r="H47" i="2"/>
  <c r="K47" i="2"/>
  <c r="G47" i="2"/>
  <c r="I47" i="2"/>
  <c r="D47" i="2"/>
  <c r="J47" i="2"/>
  <c r="F47" i="2"/>
  <c r="D48" i="2"/>
  <c r="F48" i="2"/>
  <c r="H48" i="2"/>
  <c r="J48" i="2"/>
  <c r="C48" i="2"/>
  <c r="E48" i="2"/>
  <c r="G48" i="2"/>
  <c r="I48" i="2"/>
  <c r="K48" i="2"/>
  <c r="C53" i="2"/>
  <c r="E53" i="2"/>
  <c r="G53" i="2"/>
  <c r="I53" i="2"/>
  <c r="K53" i="2"/>
  <c r="D53" i="2"/>
  <c r="F53" i="2"/>
  <c r="H53" i="2"/>
  <c r="J53" i="2"/>
  <c r="C51" i="2"/>
  <c r="E51" i="2"/>
  <c r="G51" i="2"/>
  <c r="I51" i="2"/>
  <c r="K51" i="2"/>
  <c r="D51" i="2"/>
  <c r="F51" i="2"/>
  <c r="H51" i="2"/>
  <c r="J51" i="2"/>
  <c r="D11" i="4"/>
  <c r="E11" i="4" s="1"/>
  <c r="H11" i="4" s="1"/>
  <c r="B12" i="4"/>
  <c r="G132" i="1"/>
  <c r="G139" i="1" s="1"/>
  <c r="G140" i="1" s="1"/>
  <c r="G142" i="1" s="1"/>
  <c r="G144" i="1" s="1"/>
  <c r="I17" i="2"/>
  <c r="G17" i="2"/>
  <c r="J17" i="2"/>
  <c r="D17" i="2"/>
  <c r="H17" i="2"/>
  <c r="K17" i="2"/>
  <c r="E17" i="2"/>
  <c r="C17" i="2"/>
  <c r="F17" i="2"/>
  <c r="I21" i="2"/>
  <c r="E21" i="2"/>
  <c r="C21" i="2"/>
  <c r="D21" i="2"/>
  <c r="J21" i="2"/>
  <c r="F21" i="2"/>
  <c r="H21" i="2"/>
  <c r="K21" i="2"/>
  <c r="G21" i="2"/>
  <c r="J18" i="2"/>
  <c r="E18" i="2"/>
  <c r="C18" i="2"/>
  <c r="I18" i="2"/>
  <c r="D18" i="2"/>
  <c r="K18" i="2"/>
  <c r="F18" i="2"/>
  <c r="H18" i="2"/>
  <c r="G18" i="2"/>
  <c r="E16" i="2"/>
  <c r="C16" i="2"/>
  <c r="H16" i="2"/>
  <c r="I16" i="2"/>
  <c r="F16" i="2"/>
  <c r="D16" i="2"/>
  <c r="J16" i="2"/>
  <c r="G16" i="2"/>
  <c r="K16" i="2"/>
  <c r="K19" i="2"/>
  <c r="E19" i="2"/>
  <c r="C19" i="2"/>
  <c r="F19" i="2"/>
  <c r="J19" i="2"/>
  <c r="D19" i="2"/>
  <c r="I19" i="2"/>
  <c r="G19" i="2"/>
  <c r="H19" i="2"/>
  <c r="J22" i="2"/>
  <c r="G22" i="2"/>
  <c r="K22" i="2"/>
  <c r="D22" i="2"/>
  <c r="H22" i="2"/>
  <c r="F22" i="2"/>
  <c r="E22" i="2"/>
  <c r="C22" i="2"/>
  <c r="I22" i="2"/>
  <c r="G20" i="2"/>
  <c r="F20" i="2"/>
  <c r="I20" i="2"/>
  <c r="D20" i="2"/>
  <c r="H20" i="2"/>
  <c r="J20" i="2"/>
  <c r="E20" i="2"/>
  <c r="C20" i="2"/>
  <c r="K20" i="2"/>
  <c r="D4" i="2"/>
  <c r="D42" i="2" s="1"/>
  <c r="E4" i="2"/>
  <c r="E42" i="2" s="1"/>
  <c r="F4" i="2"/>
  <c r="F42" i="2" s="1"/>
  <c r="G4" i="2"/>
  <c r="G42" i="2" s="1"/>
  <c r="H4" i="2"/>
  <c r="H42" i="2" s="1"/>
  <c r="D11" i="2"/>
  <c r="E11" i="2"/>
  <c r="F11" i="2"/>
  <c r="G11" i="2"/>
  <c r="H11" i="2"/>
  <c r="C11" i="2"/>
  <c r="C4" i="2"/>
  <c r="C42" i="2" s="1"/>
  <c r="G94" i="1"/>
  <c r="C10" i="2" s="1"/>
  <c r="E95" i="1"/>
  <c r="G95" i="1" s="1"/>
  <c r="G78" i="1"/>
  <c r="G85" i="1"/>
  <c r="G76" i="1"/>
  <c r="G75" i="1"/>
  <c r="G74" i="1"/>
  <c r="G72" i="1"/>
  <c r="G71" i="1"/>
  <c r="G70" i="1"/>
  <c r="G69" i="1"/>
  <c r="E68" i="1"/>
  <c r="G67" i="1"/>
  <c r="G66" i="1"/>
  <c r="G65" i="1"/>
  <c r="G64" i="1"/>
  <c r="G63" i="1"/>
  <c r="G62" i="1"/>
  <c r="E77" i="1"/>
  <c r="G77" i="1" s="1"/>
  <c r="E73" i="1"/>
  <c r="G73" i="1" s="1"/>
  <c r="E56" i="1"/>
  <c r="G107" i="1" l="1"/>
  <c r="G106" i="1"/>
  <c r="G86" i="1"/>
  <c r="F55" i="2"/>
  <c r="F56" i="2" s="1"/>
  <c r="F57" i="2" s="1"/>
  <c r="F67" i="2" s="1"/>
  <c r="D55" i="2"/>
  <c r="D56" i="2" s="1"/>
  <c r="D57" i="2" s="1"/>
  <c r="D67" i="2" s="1"/>
  <c r="G55" i="2"/>
  <c r="G56" i="2" s="1"/>
  <c r="G57" i="2" s="1"/>
  <c r="G67" i="2" s="1"/>
  <c r="H55" i="2"/>
  <c r="H56" i="2" s="1"/>
  <c r="H57" i="2" s="1"/>
  <c r="H67" i="2" s="1"/>
  <c r="C55" i="2"/>
  <c r="C56" i="2" s="1"/>
  <c r="C57" i="2" s="1"/>
  <c r="C67" i="2" s="1"/>
  <c r="J55" i="2"/>
  <c r="J56" i="2" s="1"/>
  <c r="J57" i="2" s="1"/>
  <c r="J67" i="2" s="1"/>
  <c r="I55" i="2"/>
  <c r="I56" i="2" s="1"/>
  <c r="I57" i="2" s="1"/>
  <c r="I67" i="2" s="1"/>
  <c r="K55" i="2"/>
  <c r="K56" i="2" s="1"/>
  <c r="K57" i="2" s="1"/>
  <c r="K67" i="2" s="1"/>
  <c r="E55" i="2"/>
  <c r="E56" i="2" s="1"/>
  <c r="D12" i="4"/>
  <c r="E12" i="4" s="1"/>
  <c r="H12" i="4" s="1"/>
  <c r="B13" i="4"/>
  <c r="G103" i="1"/>
  <c r="G96" i="1"/>
  <c r="G23" i="2"/>
  <c r="G24" i="2" s="1"/>
  <c r="G25" i="2" s="1"/>
  <c r="K23" i="2"/>
  <c r="K24" i="2" s="1"/>
  <c r="K25" i="2" s="1"/>
  <c r="F23" i="2"/>
  <c r="F24" i="2" s="1"/>
  <c r="F25" i="2" s="1"/>
  <c r="J23" i="2"/>
  <c r="J24" i="2" s="1"/>
  <c r="J25" i="2" s="1"/>
  <c r="H23" i="2"/>
  <c r="H24" i="2" s="1"/>
  <c r="H25" i="2" s="1"/>
  <c r="D23" i="2"/>
  <c r="D24" i="2" s="1"/>
  <c r="D25" i="2" s="1"/>
  <c r="C23" i="2"/>
  <c r="C24" i="2" s="1"/>
  <c r="C25" i="2" s="1"/>
  <c r="E23" i="2"/>
  <c r="E24" i="2" s="1"/>
  <c r="E25" i="2" s="1"/>
  <c r="I23" i="2"/>
  <c r="I24" i="2" s="1"/>
  <c r="I25" i="2" s="1"/>
  <c r="G68" i="1"/>
  <c r="G80" i="1" s="1"/>
  <c r="E57" i="2" l="1"/>
  <c r="E67" i="2" s="1"/>
  <c r="G110" i="1"/>
  <c r="G111" i="1" s="1"/>
  <c r="G113" i="1" s="1"/>
  <c r="G117" i="1" s="1"/>
  <c r="G119" i="1" s="1"/>
  <c r="K68" i="2"/>
  <c r="K69" i="2"/>
  <c r="J68" i="2"/>
  <c r="J69" i="2"/>
  <c r="I68" i="2"/>
  <c r="I69" i="2"/>
  <c r="C68" i="2"/>
  <c r="C69" i="2"/>
  <c r="H68" i="2"/>
  <c r="H69" i="2"/>
  <c r="D69" i="2"/>
  <c r="D68" i="2"/>
  <c r="G68" i="2"/>
  <c r="G69" i="2"/>
  <c r="F69" i="2"/>
  <c r="F68" i="2"/>
  <c r="D13" i="4"/>
  <c r="E13" i="4" s="1"/>
  <c r="H13" i="4" s="1"/>
  <c r="B14" i="4"/>
  <c r="E35" i="2"/>
  <c r="G35" i="2"/>
  <c r="D35" i="2"/>
  <c r="F35" i="2"/>
  <c r="C35" i="2"/>
  <c r="K35" i="2"/>
  <c r="J35" i="2"/>
  <c r="I35" i="2"/>
  <c r="H35" i="2"/>
  <c r="G88" i="1"/>
  <c r="G89" i="1" s="1"/>
  <c r="E69" i="2" l="1"/>
  <c r="E68" i="2"/>
  <c r="B15" i="4"/>
  <c r="D15" i="4" s="1"/>
  <c r="E15" i="4" s="1"/>
  <c r="H15" i="4" s="1"/>
  <c r="D14" i="4"/>
  <c r="E14" i="4" s="1"/>
  <c r="H14" i="4" s="1"/>
  <c r="D36" i="2"/>
  <c r="D37" i="2"/>
  <c r="I36" i="2"/>
  <c r="I37" i="2"/>
  <c r="F36" i="2"/>
  <c r="F37" i="2"/>
  <c r="J36" i="2"/>
  <c r="J37" i="2"/>
  <c r="K36" i="2"/>
  <c r="K37" i="2"/>
  <c r="G36" i="2"/>
  <c r="G37" i="2"/>
  <c r="H36" i="2"/>
  <c r="H37" i="2"/>
  <c r="C36" i="2"/>
  <c r="C37" i="2"/>
  <c r="E36" i="2"/>
  <c r="E37" i="2"/>
  <c r="G90" i="1"/>
  <c r="G98" i="1"/>
  <c r="G92" i="1" l="1"/>
  <c r="H6" i="2" s="1"/>
  <c r="H8" i="2" s="1"/>
  <c r="H13" i="2" s="1"/>
  <c r="H27" i="2" s="1"/>
  <c r="G148" i="1"/>
  <c r="G152" i="1" s="1"/>
  <c r="C6" i="2" l="1"/>
  <c r="C8" i="2" s="1"/>
  <c r="C13" i="2" s="1"/>
  <c r="C27" i="2" s="1"/>
  <c r="I6" i="2"/>
  <c r="I8" i="2" s="1"/>
  <c r="I13" i="2" s="1"/>
  <c r="I27" i="2" s="1"/>
  <c r="F6" i="2"/>
  <c r="F8" i="2" s="1"/>
  <c r="F13" i="2" s="1"/>
  <c r="F27" i="2" s="1"/>
  <c r="K6" i="2"/>
  <c r="K8" i="2" s="1"/>
  <c r="K13" i="2" s="1"/>
  <c r="K27" i="2" s="1"/>
  <c r="D6" i="2"/>
  <c r="D8" i="2" s="1"/>
  <c r="D13" i="2" s="1"/>
  <c r="D27" i="2" s="1"/>
  <c r="G6" i="2"/>
  <c r="G8" i="2" s="1"/>
  <c r="G13" i="2" s="1"/>
  <c r="G27" i="2" s="1"/>
  <c r="J6" i="2"/>
  <c r="J8" i="2" s="1"/>
  <c r="J13" i="2" s="1"/>
  <c r="J27" i="2" s="1"/>
  <c r="E6" i="2"/>
  <c r="E8" i="2" s="1"/>
  <c r="E13" i="2" s="1"/>
  <c r="E27" i="2" s="1"/>
</calcChain>
</file>

<file path=xl/sharedStrings.xml><?xml version="1.0" encoding="utf-8"?>
<sst xmlns="http://schemas.openxmlformats.org/spreadsheetml/2006/main" count="306" uniqueCount="220">
  <si>
    <t>Estudio de Inversión de Gallinero para Aves de Postura</t>
  </si>
  <si>
    <t>N° de Aves en postura</t>
  </si>
  <si>
    <t>Supuestos:</t>
  </si>
  <si>
    <t>Raza de gallinas</t>
  </si>
  <si>
    <t>N° aves por nido</t>
  </si>
  <si>
    <t>N° de Nidos</t>
  </si>
  <si>
    <t>Superficie de Gallinero (m2)</t>
  </si>
  <si>
    <t>Dimensiones</t>
  </si>
  <si>
    <t>N° aves por comedero</t>
  </si>
  <si>
    <t>N° de comederos</t>
  </si>
  <si>
    <t>Materiales de Construcción</t>
  </si>
  <si>
    <t>Unidades</t>
  </si>
  <si>
    <t>Valor Total</t>
  </si>
  <si>
    <t>Sacos de Cemento</t>
  </si>
  <si>
    <t>Sacos de Ripio o Gravilla</t>
  </si>
  <si>
    <t>3 Rollos Fieltro Asfaltico Liso Generico (40 m2)</t>
  </si>
  <si>
    <t>Mano de Obra</t>
  </si>
  <si>
    <t>Instalacion Eléctrica</t>
  </si>
  <si>
    <t>Nidos (Cajones Plasticos Cosecheros)</t>
  </si>
  <si>
    <t>Comederos Colgantes</t>
  </si>
  <si>
    <t>Clavos, Grapas, tornillos</t>
  </si>
  <si>
    <t>Precios de materiales en Sodimac al 22-05-2018</t>
  </si>
  <si>
    <t>Listones Pino Cepillado Seco 1"x3"x3.20 mts.</t>
  </si>
  <si>
    <t>Sacos de Arena</t>
  </si>
  <si>
    <t>Planchas 5V gris CAP 0.40x895x3500 (3.12 m2)</t>
  </si>
  <si>
    <t>Planchas OSB Luisiana Pacific 8mmx1.22x2.44</t>
  </si>
  <si>
    <t>Tornillos Fixser Autoperforantes con Golilla 1,5 pulgada</t>
  </si>
  <si>
    <t>1 Rollo malla EcoSol 5014 Inchalam 1.20x25 metros</t>
  </si>
  <si>
    <t>Valor $/U</t>
  </si>
  <si>
    <t>Timer para Control de Luz Artificial (Eléctrica)</t>
  </si>
  <si>
    <t>Cinta transportadora de agua</t>
  </si>
  <si>
    <t>Flotador y válvula llenado automatico canaletas</t>
  </si>
  <si>
    <t>Bebederos (Canaletas PVC Duralec-Vinilit 4 metros)</t>
  </si>
  <si>
    <t>Fardos de paja</t>
  </si>
  <si>
    <t>TOTAL DE INVERSIÓN</t>
  </si>
  <si>
    <t>Precios con IVA</t>
  </si>
  <si>
    <t>Mano de Obra y Flete</t>
  </si>
  <si>
    <t>6m de ancho por 19m de largo</t>
  </si>
  <si>
    <t>Flete de Materiales</t>
  </si>
  <si>
    <t>Balanza digital</t>
  </si>
  <si>
    <t>Costo de construcción por metro cuadrado</t>
  </si>
  <si>
    <t>Subtotal Materiales, MO y Flete</t>
  </si>
  <si>
    <t>Total  Materiales, MO y Flete</t>
  </si>
  <si>
    <t>Costo de Construcción por m2</t>
  </si>
  <si>
    <t>Balanza Digital</t>
  </si>
  <si>
    <t>Consumo de alim. por ave ponedora al día (g)</t>
  </si>
  <si>
    <t>Consumo de alim. por ave ponedora al año (Kg)</t>
  </si>
  <si>
    <t>Alimento para ponedoras</t>
  </si>
  <si>
    <t>Capital de Operación del primer año</t>
  </si>
  <si>
    <t>Meses de luz artificial al año</t>
  </si>
  <si>
    <t>Energía eléctrica</t>
  </si>
  <si>
    <t>Agua</t>
  </si>
  <si>
    <t>Limpieza Guano</t>
  </si>
  <si>
    <t>Veterinario</t>
  </si>
  <si>
    <t>Vacunas Gumboro D-78 (2 veces en el año)</t>
  </si>
  <si>
    <t>Precio prom de venta de huevos por unidad</t>
  </si>
  <si>
    <t>Más 5% de Imprevistos</t>
  </si>
  <si>
    <t>Costos de Operación antes de Imprevistos</t>
  </si>
  <si>
    <t>TOTAL DE COSTOS DE OPERACIÓN</t>
  </si>
  <si>
    <t>INGRESOS POR VENTA DE HUEVOS</t>
  </si>
  <si>
    <t>MARGEN DEL NEGOCIO</t>
  </si>
  <si>
    <t>Costo de Aves 14-15 sem</t>
  </si>
  <si>
    <t>Alimento Ponedoras</t>
  </si>
  <si>
    <t>TOTAL COSTO DE OPERACIÓN</t>
  </si>
  <si>
    <t>Costo de Operación</t>
  </si>
  <si>
    <t>Ingresos por Venta</t>
  </si>
  <si>
    <t>Factor de Postura</t>
  </si>
  <si>
    <t>Huevos producidos en el año</t>
  </si>
  <si>
    <t>Precio promedio de venta de huevos</t>
  </si>
  <si>
    <t>TOTAL VENTAS ANUALES</t>
  </si>
  <si>
    <t>Caso Base para determinar el costo de construcción por m2 del gallinero</t>
  </si>
  <si>
    <t>Subtotal Materiales (A)</t>
  </si>
  <si>
    <t>Subtotal MO y Flete (B)</t>
  </si>
  <si>
    <t>+ 5% Imprevistos (C)</t>
  </si>
  <si>
    <t>Total  Materiales, MO y Flete (A+B+C)</t>
  </si>
  <si>
    <t>Subtotal Aves Ponedoras + Balanza Digital (D)</t>
  </si>
  <si>
    <t>TOTAL DE INVERSIÓN (A+B+C+D)</t>
  </si>
  <si>
    <t>Vacuna Newcastle C2 (1 vez en el año)</t>
  </si>
  <si>
    <t>Limpieza de Guano</t>
  </si>
  <si>
    <t>Margen x huevo</t>
  </si>
  <si>
    <t>Postura se reduce a 80%. Mortalidad de aves del 5%</t>
  </si>
  <si>
    <t>Factor de correción de postura primer año</t>
  </si>
  <si>
    <t>Factor de correción de postura segundo año</t>
  </si>
  <si>
    <t>Número de dias de postura en el primer año</t>
  </si>
  <si>
    <t>Número de dias de postura en el segundo año</t>
  </si>
  <si>
    <t>Valor de venta de gallinas sobre 90 semanas</t>
  </si>
  <si>
    <t>Costo por gallina 14-15 semanas</t>
  </si>
  <si>
    <t>Sobrevivencia al segundo año</t>
  </si>
  <si>
    <t>Margen por huevo</t>
  </si>
  <si>
    <t>Compra de gallinas de 14-15 semanas</t>
  </si>
  <si>
    <t xml:space="preserve">Venta de Huevos </t>
  </si>
  <si>
    <t>Venta de Aves sobre 90 semanas de edad</t>
  </si>
  <si>
    <t>TOTAL DE INGRESOS POR VENTA</t>
  </si>
  <si>
    <t>INVERSIÓN + COSTO DE OPERACIÓN DEL PRIMER AÑO</t>
  </si>
  <si>
    <t>Consumo en kg pollita desde 1 dia a 15 semanas</t>
  </si>
  <si>
    <t>Aves ponedoras por m2</t>
  </si>
  <si>
    <t>Costo anual de alimento por ave ponedora</t>
  </si>
  <si>
    <t>Consumo promedio pollita hasta 15 semanas al día (g)</t>
  </si>
  <si>
    <t>Costo 1 kg alimento para ponedoras</t>
  </si>
  <si>
    <t>Costo 1 kg alimento pollita</t>
  </si>
  <si>
    <t>KT para la Cria de Pollas desde 1 dia a 15 semanas</t>
  </si>
  <si>
    <t>Vacunas desde 1 dia a 15 semanas</t>
  </si>
  <si>
    <t>Costo x dosis vacuna Laringotraq Aviar</t>
  </si>
  <si>
    <t>Costo por dosis vacuna D-V-EA</t>
  </si>
  <si>
    <t>Costo de jeringa HSW ECO-Matic</t>
  </si>
  <si>
    <t>Agujas Delvo</t>
  </si>
  <si>
    <t>Cipermetrina 20%</t>
  </si>
  <si>
    <t>N° aplicaciones</t>
  </si>
  <si>
    <t>Costo x pollita</t>
  </si>
  <si>
    <t>Costo de pollitas de 1-3 días</t>
  </si>
  <si>
    <t>Alimento pollitas</t>
  </si>
  <si>
    <t>Materiales para vacunas</t>
  </si>
  <si>
    <t>TOTAL DE COSTOS DE OPERACIÓN DE CRIA DE POLLITAS HASTA 15 SEMANAS</t>
  </si>
  <si>
    <t>Total Materiales, MO y Flete</t>
  </si>
  <si>
    <t>Despicadora</t>
  </si>
  <si>
    <t>COSTO DE COMPRA Y CRIA POR POLLITA HASTA 15 SEMANAS (3,5 MESES)</t>
  </si>
  <si>
    <t>TOTAL DE INVERSION CON CRIA DE POLLITAS</t>
  </si>
  <si>
    <t>Costo de Inversión en Gallinero y compra de pollitas de 1 día</t>
  </si>
  <si>
    <t>Estimación del costo de cria de pollitas desde 1 día a 15 semanas</t>
  </si>
  <si>
    <t>Costo de 1 pollita de 1-3 días</t>
  </si>
  <si>
    <t>Calefacción a gas</t>
  </si>
  <si>
    <t>Estufa a gas</t>
  </si>
  <si>
    <t>Costo de vacunas por pollita</t>
  </si>
  <si>
    <t>Costos de Operación:</t>
  </si>
  <si>
    <t>Interés anual</t>
  </si>
  <si>
    <t>Monto del Credito</t>
  </si>
  <si>
    <t>Categoría N</t>
  </si>
  <si>
    <t>Cuota Mensual</t>
  </si>
  <si>
    <t>Capital insoluto</t>
  </si>
  <si>
    <t>Porción de Capital</t>
  </si>
  <si>
    <t>Porción de Interés</t>
  </si>
  <si>
    <t>Total Cuota</t>
  </si>
  <si>
    <t>Mg del negocio disponible</t>
  </si>
  <si>
    <t>Mg después del servicio de deuda</t>
  </si>
  <si>
    <t>Jeringa HSW Eco-matic</t>
  </si>
  <si>
    <t>Agujas Delvo Suizas</t>
  </si>
  <si>
    <t>2ml</t>
  </si>
  <si>
    <t>10/10 mm</t>
  </si>
  <si>
    <t>100 ml</t>
  </si>
  <si>
    <t>Plan de vacunación de Aves de Postura</t>
  </si>
  <si>
    <t>Clasif de los huevos</t>
  </si>
  <si>
    <t>Tipos</t>
  </si>
  <si>
    <t>Peso</t>
  </si>
  <si>
    <t>Valor de venta</t>
  </si>
  <si>
    <t>Especial (Super Extra)</t>
  </si>
  <si>
    <t>Sobre 68 gramos</t>
  </si>
  <si>
    <t>Extra Grande (Extra)</t>
  </si>
  <si>
    <t>Grande (Primera)</t>
  </si>
  <si>
    <t>Mediano (Segunda)</t>
  </si>
  <si>
    <t>Chico (Tercera)</t>
  </si>
  <si>
    <t>Muy Chico (Cuarta)</t>
  </si>
  <si>
    <t>De 61 a 68 g</t>
  </si>
  <si>
    <t>De 54 a 61 g</t>
  </si>
  <si>
    <t>De 47 a 54 g</t>
  </si>
  <si>
    <t>Menos de 40 g</t>
  </si>
  <si>
    <t>De 40 a 47 g</t>
  </si>
  <si>
    <t>Int. mensual</t>
  </si>
  <si>
    <t>MARGEN OPERACIONAL DEL NEGOCIO (Utilidad Bruta)</t>
  </si>
  <si>
    <t>MARGEN OPERACIONAL ANUAL</t>
  </si>
  <si>
    <t>Margen Operacional Mensual</t>
  </si>
  <si>
    <t xml:space="preserve"> </t>
  </si>
  <si>
    <t>Costo de 2.500 dosis vacuna Bronq Infecc MA5 4/91</t>
  </si>
  <si>
    <t xml:space="preserve">  </t>
  </si>
  <si>
    <t>Enfermedad</t>
  </si>
  <si>
    <t>Semana 3</t>
  </si>
  <si>
    <t>Gumboro</t>
  </si>
  <si>
    <t>Semana 4</t>
  </si>
  <si>
    <t>Semana 7</t>
  </si>
  <si>
    <t>Exclusión Competitiva</t>
  </si>
  <si>
    <t>Difteroviruela</t>
  </si>
  <si>
    <t>Laringotraqueitis</t>
  </si>
  <si>
    <t>Encefalomielitis</t>
  </si>
  <si>
    <t>Bronquitis Infecciosa</t>
  </si>
  <si>
    <t>Newcastle La Sota</t>
  </si>
  <si>
    <t>Enf. Caida Postura</t>
  </si>
  <si>
    <t>Coriza Infecciosa</t>
  </si>
  <si>
    <t>Salmonella Enteritidis</t>
  </si>
  <si>
    <t>Gumbo L</t>
  </si>
  <si>
    <t>Bactivol E</t>
  </si>
  <si>
    <t>Corymune 7</t>
  </si>
  <si>
    <t>Semana 10</t>
  </si>
  <si>
    <t>FP L*</t>
  </si>
  <si>
    <t>Laringotraqueitis viva atenuada *</t>
  </si>
  <si>
    <t>Encefalomielitis *</t>
  </si>
  <si>
    <t>Semana de Vacunación</t>
  </si>
  <si>
    <t>Semana 0 a 1</t>
  </si>
  <si>
    <t>Averiguard / Broilac</t>
  </si>
  <si>
    <t>Bronquitis Infecciosa Ma5 + 4/91</t>
  </si>
  <si>
    <t>Semana 15 -16</t>
  </si>
  <si>
    <t>Costo de 1.000 dosis Market (subcutanea)</t>
  </si>
  <si>
    <t>Costo de 1.000 dosis  Averiguard / Broilac</t>
  </si>
  <si>
    <t>Costo por dosis  (spray)</t>
  </si>
  <si>
    <t xml:space="preserve">Costo por dosis vacuna </t>
  </si>
  <si>
    <t>Costo de 2.500 dosis  Gumbo L</t>
  </si>
  <si>
    <t>Costo por dosis vacuna</t>
  </si>
  <si>
    <t>Costo por dosis devacuna (Difteroviruela)</t>
  </si>
  <si>
    <t>Costo por dosis devacuna (Laringotraqueitis)</t>
  </si>
  <si>
    <t>Costo por dosis devacuna (Encefalomielitis)</t>
  </si>
  <si>
    <t>Costo por dosis devacuna ( Caida postura, Coriza Infecciosa y Salmonella Enteritidis)</t>
  </si>
  <si>
    <t>Lohmann Brown Classic</t>
  </si>
  <si>
    <t>Vacunas Gumboro GL  (2 veces en el año)</t>
  </si>
  <si>
    <t>Costo de 2.500 dosis vacuna Bronq Infecc MA5 4/91 (2  veces)</t>
  </si>
  <si>
    <t>Bronquitis Infecciosa Ma5</t>
  </si>
  <si>
    <t>Market</t>
  </si>
  <si>
    <t>Polines Impregnados de 4,5 Pulgadas de 75mm a 140mm de ancho x 2.80 m de largo</t>
  </si>
  <si>
    <t>Costo de 2.000 dosis Bactivol E</t>
  </si>
  <si>
    <t>Costo de 2000 dosis FP L*</t>
  </si>
  <si>
    <t>Costo de 2000 dosis Laringotraqueitis viva atenuada</t>
  </si>
  <si>
    <t>Costo de 2.000 dosis  Encefalomielitis</t>
  </si>
  <si>
    <t>Costo de 2000 dosis  Corymune 7</t>
  </si>
  <si>
    <t>Gallinas Lohman Brown Classic de 14-15 semanas</t>
  </si>
  <si>
    <t>Valor $</t>
  </si>
  <si>
    <t>Plan de Vacunacion (Estándar)</t>
  </si>
  <si>
    <t>Costo de 2500 dosis  Gumbo L</t>
  </si>
  <si>
    <t>Precios  marzo -2021. IVA incl. (*)</t>
  </si>
  <si>
    <t>Cifras 2021, reajustado acuerdo IPC  dos años siguientes</t>
  </si>
  <si>
    <r>
      <t xml:space="preserve">Escenarios del Negocio de Aves Ponedoras  el </t>
    </r>
    <r>
      <rPr>
        <u/>
        <sz val="16"/>
        <color theme="1"/>
        <rFont val="Calibri"/>
        <family val="2"/>
        <scheme val="minor"/>
      </rPr>
      <t>Primer Año</t>
    </r>
    <r>
      <rPr>
        <sz val="16"/>
        <color theme="1"/>
        <rFont val="Calibri"/>
        <family val="2"/>
        <scheme val="minor"/>
      </rPr>
      <t xml:space="preserve"> en Base al N° de Aves</t>
    </r>
  </si>
  <si>
    <r>
      <t xml:space="preserve">Escenarios del Negocio de Aves Ponedoras  el </t>
    </r>
    <r>
      <rPr>
        <u/>
        <sz val="16"/>
        <color theme="0"/>
        <rFont val="Calibri"/>
        <family val="2"/>
        <scheme val="minor"/>
      </rPr>
      <t>Segundo Año</t>
    </r>
    <r>
      <rPr>
        <sz val="16"/>
        <color theme="0"/>
        <rFont val="Calibri"/>
        <family val="2"/>
        <scheme val="minor"/>
      </rPr>
      <t xml:space="preserve"> en Base al N° de Aves</t>
    </r>
  </si>
  <si>
    <t>Fuente:  Entrevista proveedores</t>
  </si>
  <si>
    <t>Área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</si>
</sst>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&quot;$&quot;\-#,##0"/>
    <numFmt numFmtId="42" formatCode="_ &quot;$&quot;* #,##0_ ;_ &quot;$&quot;* \-#,##0_ ;_ &quot;$&quot;* &quot;-&quot;_ ;_ @_ "/>
    <numFmt numFmtId="41" formatCode="_ * #,##0_ ;_ * \-#,##0_ ;_ * &quot;-&quot;_ ;_ @_ "/>
    <numFmt numFmtId="164" formatCode="0.0"/>
    <numFmt numFmtId="165" formatCode="_ &quot;$&quot;* #,##0.0_ ;_ &quot;$&quot;* \-#,##0.0_ ;_ &quot;$&quot;* &quot;-&quot;_ ;_ @_ "/>
    <numFmt numFmtId="166" formatCode="_ * #,##0.0_ ;_ * \-#,##0.0_ ;_ * &quot;-&quot;_ ;_ @_ "/>
    <numFmt numFmtId="167" formatCode="_ &quot;$&quot;* #,##0.00_ ;_ &quot;$&quot;* \-#,##0.0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5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/>
    <xf numFmtId="164" fontId="0" fillId="0" borderId="0" xfId="0" applyNumberFormat="1"/>
    <xf numFmtId="1" fontId="0" fillId="0" borderId="0" xfId="0" applyNumberFormat="1"/>
    <xf numFmtId="0" fontId="4" fillId="0" borderId="0" xfId="0" applyFont="1"/>
    <xf numFmtId="3" fontId="0" fillId="0" borderId="0" xfId="0" applyNumberFormat="1"/>
    <xf numFmtId="41" fontId="0" fillId="0" borderId="0" xfId="1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1" fontId="0" fillId="0" borderId="0" xfId="0" applyNumberFormat="1"/>
    <xf numFmtId="0" fontId="0" fillId="0" borderId="1" xfId="0" applyBorder="1"/>
    <xf numFmtId="0" fontId="2" fillId="0" borderId="2" xfId="0" applyFont="1" applyBorder="1" applyAlignment="1">
      <alignment wrapText="1"/>
    </xf>
    <xf numFmtId="0" fontId="0" fillId="0" borderId="2" xfId="0" applyBorder="1"/>
    <xf numFmtId="0" fontId="2" fillId="0" borderId="0" xfId="0" applyFont="1" applyBorder="1" applyAlignment="1">
      <alignment wrapText="1"/>
    </xf>
    <xf numFmtId="0" fontId="0" fillId="0" borderId="0" xfId="0" applyBorder="1"/>
    <xf numFmtId="42" fontId="0" fillId="0" borderId="0" xfId="2" applyFont="1"/>
    <xf numFmtId="42" fontId="2" fillId="0" borderId="2" xfId="2" applyFont="1" applyBorder="1"/>
    <xf numFmtId="42" fontId="2" fillId="0" borderId="0" xfId="2" applyFont="1" applyBorder="1"/>
    <xf numFmtId="0" fontId="4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wrapText="1"/>
    </xf>
    <xf numFmtId="42" fontId="0" fillId="0" borderId="0" xfId="2" applyFont="1" applyBorder="1"/>
    <xf numFmtId="42" fontId="1" fillId="0" borderId="0" xfId="2" applyFont="1" applyBorder="1"/>
    <xf numFmtId="0" fontId="0" fillId="0" borderId="6" xfId="0" applyBorder="1"/>
    <xf numFmtId="42" fontId="0" fillId="0" borderId="0" xfId="0" applyNumberFormat="1"/>
    <xf numFmtId="0" fontId="2" fillId="0" borderId="2" xfId="0" applyFont="1" applyBorder="1"/>
    <xf numFmtId="42" fontId="2" fillId="0" borderId="2" xfId="0" applyNumberFormat="1" applyFont="1" applyBorder="1"/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42" fontId="2" fillId="0" borderId="0" xfId="0" applyNumberFormat="1" applyFont="1" applyBorder="1"/>
    <xf numFmtId="0" fontId="0" fillId="0" borderId="0" xfId="0" quotePrefix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42" fontId="0" fillId="0" borderId="0" xfId="0" applyNumberFormat="1" applyFont="1" applyBorder="1"/>
    <xf numFmtId="9" fontId="0" fillId="0" borderId="1" xfId="3" applyFont="1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Font="1" applyFill="1" applyBorder="1"/>
    <xf numFmtId="42" fontId="2" fillId="0" borderId="0" xfId="2" applyFont="1" applyFill="1" applyBorder="1"/>
    <xf numFmtId="2" fontId="0" fillId="0" borderId="0" xfId="0" applyNumberFormat="1"/>
    <xf numFmtId="166" fontId="0" fillId="0" borderId="0" xfId="1" applyNumberFormat="1" applyFont="1"/>
    <xf numFmtId="0" fontId="0" fillId="3" borderId="10" xfId="0" applyFill="1" applyBorder="1" applyAlignment="1">
      <alignment horizontal="left" indent="2"/>
    </xf>
    <xf numFmtId="42" fontId="0" fillId="3" borderId="11" xfId="2" applyFont="1" applyFill="1" applyBorder="1"/>
    <xf numFmtId="0" fontId="0" fillId="3" borderId="12" xfId="0" applyFill="1" applyBorder="1" applyAlignment="1">
      <alignment horizontal="left" indent="2"/>
    </xf>
    <xf numFmtId="165" fontId="0" fillId="3" borderId="13" xfId="2" applyNumberFormat="1" applyFont="1" applyFill="1" applyBorder="1"/>
    <xf numFmtId="0" fontId="0" fillId="3" borderId="14" xfId="0" applyFill="1" applyBorder="1" applyAlignment="1">
      <alignment horizontal="left" indent="2"/>
    </xf>
    <xf numFmtId="42" fontId="0" fillId="3" borderId="15" xfId="2" applyNumberFormat="1" applyFont="1" applyFill="1" applyBorder="1"/>
    <xf numFmtId="42" fontId="0" fillId="3" borderId="13" xfId="2" applyNumberFormat="1" applyFont="1" applyFill="1" applyBorder="1"/>
    <xf numFmtId="0" fontId="0" fillId="0" borderId="0" xfId="0" applyFill="1"/>
    <xf numFmtId="42" fontId="0" fillId="3" borderId="11" xfId="2" applyNumberFormat="1" applyFont="1" applyFill="1" applyBorder="1"/>
    <xf numFmtId="42" fontId="0" fillId="3" borderId="15" xfId="2" applyFont="1" applyFill="1" applyBorder="1"/>
    <xf numFmtId="6" fontId="0" fillId="0" borderId="0" xfId="0" applyNumberFormat="1"/>
    <xf numFmtId="9" fontId="0" fillId="3" borderId="11" xfId="2" applyNumberFormat="1" applyFont="1" applyFill="1" applyBorder="1"/>
    <xf numFmtId="9" fontId="0" fillId="3" borderId="13" xfId="2" applyNumberFormat="1" applyFont="1" applyFill="1" applyBorder="1"/>
    <xf numFmtId="41" fontId="0" fillId="3" borderId="11" xfId="1" applyFont="1" applyFill="1" applyBorder="1"/>
    <xf numFmtId="41" fontId="0" fillId="3" borderId="13" xfId="1" applyFont="1" applyFill="1" applyBorder="1"/>
    <xf numFmtId="0" fontId="0" fillId="3" borderId="15" xfId="0" applyFill="1" applyBorder="1"/>
    <xf numFmtId="164" fontId="0" fillId="3" borderId="15" xfId="0" applyNumberFormat="1" applyFill="1" applyBorder="1"/>
    <xf numFmtId="41" fontId="0" fillId="3" borderId="15" xfId="1" applyFont="1" applyFill="1" applyBorder="1"/>
    <xf numFmtId="9" fontId="0" fillId="3" borderId="15" xfId="1" applyNumberFormat="1" applyFont="1" applyFill="1" applyBorder="1"/>
    <xf numFmtId="42" fontId="0" fillId="0" borderId="24" xfId="2" applyFont="1" applyBorder="1"/>
    <xf numFmtId="0" fontId="0" fillId="0" borderId="23" xfId="0" applyBorder="1"/>
    <xf numFmtId="42" fontId="0" fillId="0" borderId="23" xfId="2" applyFont="1" applyBorder="1"/>
    <xf numFmtId="42" fontId="2" fillId="0" borderId="25" xfId="2" applyFont="1" applyBorder="1"/>
    <xf numFmtId="41" fontId="0" fillId="0" borderId="23" xfId="1" applyFont="1" applyBorder="1"/>
    <xf numFmtId="42" fontId="2" fillId="0" borderId="23" xfId="2" applyFont="1" applyFill="1" applyBorder="1"/>
    <xf numFmtId="0" fontId="0" fillId="0" borderId="16" xfId="0" applyBorder="1" applyAlignment="1">
      <alignment horizontal="center"/>
    </xf>
    <xf numFmtId="42" fontId="0" fillId="0" borderId="16" xfId="2" applyFont="1" applyBorder="1" applyAlignment="1">
      <alignment horizontal="center"/>
    </xf>
    <xf numFmtId="0" fontId="0" fillId="0" borderId="17" xfId="0" applyBorder="1" applyAlignment="1">
      <alignment horizontal="center"/>
    </xf>
    <xf numFmtId="42" fontId="0" fillId="0" borderId="18" xfId="2" applyFont="1" applyBorder="1" applyAlignment="1">
      <alignment horizontal="center"/>
    </xf>
    <xf numFmtId="0" fontId="0" fillId="0" borderId="19" xfId="0" applyBorder="1" applyAlignment="1">
      <alignment horizontal="center"/>
    </xf>
    <xf numFmtId="42" fontId="0" fillId="0" borderId="20" xfId="2" applyFont="1" applyBorder="1" applyAlignment="1">
      <alignment horizontal="center"/>
    </xf>
    <xf numFmtId="42" fontId="0" fillId="0" borderId="21" xfId="2" applyFont="1" applyBorder="1" applyAlignment="1">
      <alignment horizontal="center"/>
    </xf>
    <xf numFmtId="42" fontId="2" fillId="0" borderId="0" xfId="0" applyNumberFormat="1" applyFont="1"/>
    <xf numFmtId="0" fontId="0" fillId="3" borderId="0" xfId="0" applyFill="1"/>
    <xf numFmtId="0" fontId="0" fillId="3" borderId="16" xfId="0" applyFill="1" applyBorder="1" applyAlignment="1">
      <alignment horizontal="center"/>
    </xf>
    <xf numFmtId="42" fontId="0" fillId="3" borderId="16" xfId="2" applyFont="1" applyFill="1" applyBorder="1"/>
    <xf numFmtId="0" fontId="2" fillId="3" borderId="0" xfId="0" applyFont="1" applyFill="1"/>
    <xf numFmtId="0" fontId="0" fillId="3" borderId="16" xfId="0" applyFill="1" applyBorder="1" applyAlignment="1">
      <alignment horizontal="center" vertical="center"/>
    </xf>
    <xf numFmtId="9" fontId="2" fillId="3" borderId="0" xfId="0" applyNumberFormat="1" applyFont="1" applyFill="1" applyAlignment="1">
      <alignment horizontal="left"/>
    </xf>
    <xf numFmtId="10" fontId="2" fillId="3" borderId="0" xfId="3" applyNumberFormat="1" applyFont="1" applyFill="1" applyAlignment="1">
      <alignment horizontal="left"/>
    </xf>
    <xf numFmtId="42" fontId="2" fillId="3" borderId="0" xfId="2" applyFont="1" applyFill="1"/>
    <xf numFmtId="42" fontId="0" fillId="3" borderId="16" xfId="0" applyNumberFormat="1" applyFill="1" applyBorder="1"/>
    <xf numFmtId="166" fontId="0" fillId="3" borderId="13" xfId="1" applyNumberFormat="1" applyFont="1" applyFill="1" applyBorder="1"/>
    <xf numFmtId="0" fontId="0" fillId="0" borderId="0" xfId="0"/>
    <xf numFmtId="42" fontId="6" fillId="3" borderId="13" xfId="2" applyFont="1" applyFill="1" applyBorder="1"/>
    <xf numFmtId="42" fontId="6" fillId="0" borderId="0" xfId="2" applyFont="1" applyBorder="1"/>
    <xf numFmtId="0" fontId="0" fillId="0" borderId="0" xfId="0" applyBorder="1" applyAlignment="1">
      <alignment horizontal="right"/>
    </xf>
    <xf numFmtId="0" fontId="0" fillId="3" borderId="0" xfId="0" applyFill="1" applyAlignment="1">
      <alignment horizontal="center"/>
    </xf>
    <xf numFmtId="0" fontId="2" fillId="3" borderId="16" xfId="0" applyFont="1" applyFill="1" applyBorder="1" applyAlignment="1">
      <alignment horizontal="center" vertical="center" wrapText="1"/>
    </xf>
    <xf numFmtId="42" fontId="2" fillId="3" borderId="13" xfId="2" applyFont="1" applyFill="1" applyBorder="1"/>
    <xf numFmtId="0" fontId="0" fillId="3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/>
    </xf>
    <xf numFmtId="3" fontId="0" fillId="3" borderId="16" xfId="0" applyNumberFormat="1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/>
    </xf>
    <xf numFmtId="165" fontId="6" fillId="0" borderId="0" xfId="2" applyNumberFormat="1" applyFont="1"/>
    <xf numFmtId="0" fontId="8" fillId="0" borderId="0" xfId="0" applyFont="1"/>
    <xf numFmtId="0" fontId="6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42" fontId="6" fillId="0" borderId="0" xfId="0" applyNumberFormat="1" applyFont="1"/>
    <xf numFmtId="42" fontId="6" fillId="0" borderId="0" xfId="2" applyFont="1"/>
    <xf numFmtId="41" fontId="6" fillId="0" borderId="0" xfId="0" applyNumberFormat="1" applyFont="1" applyAlignment="1">
      <alignment horizontal="right" vertical="center"/>
    </xf>
    <xf numFmtId="167" fontId="6" fillId="0" borderId="0" xfId="2" applyNumberFormat="1" applyFont="1"/>
    <xf numFmtId="0" fontId="7" fillId="0" borderId="2" xfId="0" applyFont="1" applyBorder="1"/>
    <xf numFmtId="42" fontId="7" fillId="0" borderId="2" xfId="0" applyNumberFormat="1" applyFont="1" applyBorder="1"/>
    <xf numFmtId="42" fontId="0" fillId="3" borderId="30" xfId="2" applyFont="1" applyFill="1" applyBorder="1"/>
    <xf numFmtId="42" fontId="0" fillId="3" borderId="1" xfId="2" applyNumberFormat="1" applyFont="1" applyFill="1" applyBorder="1"/>
    <xf numFmtId="0" fontId="6" fillId="0" borderId="2" xfId="0" applyFont="1" applyBorder="1"/>
    <xf numFmtId="42" fontId="7" fillId="0" borderId="2" xfId="2" applyFont="1" applyBorder="1"/>
    <xf numFmtId="0" fontId="6" fillId="0" borderId="0" xfId="0" applyFont="1" applyBorder="1" applyAlignment="1">
      <alignment wrapText="1"/>
    </xf>
    <xf numFmtId="0" fontId="2" fillId="2" borderId="3" xfId="0" applyFont="1" applyFill="1" applyBorder="1"/>
    <xf numFmtId="42" fontId="2" fillId="2" borderId="5" xfId="2" applyFont="1" applyFill="1" applyBorder="1"/>
    <xf numFmtId="0" fontId="0" fillId="0" borderId="14" xfId="0" applyFill="1" applyBorder="1" applyAlignment="1">
      <alignment horizontal="left" indent="2"/>
    </xf>
    <xf numFmtId="0" fontId="10" fillId="4" borderId="16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left"/>
    </xf>
    <xf numFmtId="0" fontId="14" fillId="4" borderId="4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wrapText="1"/>
    </xf>
    <xf numFmtId="0" fontId="14" fillId="4" borderId="5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3" fillId="0" borderId="16" xfId="0" quotePrefix="1" applyFont="1" applyBorder="1" applyAlignment="1">
      <alignment wrapText="1"/>
    </xf>
    <xf numFmtId="0" fontId="5" fillId="0" borderId="16" xfId="0" applyFont="1" applyBorder="1"/>
    <xf numFmtId="42" fontId="3" fillId="0" borderId="16" xfId="2" applyFont="1" applyBorder="1"/>
    <xf numFmtId="0" fontId="14" fillId="0" borderId="16" xfId="0" applyFont="1" applyFill="1" applyBorder="1" applyAlignment="1">
      <alignment horizontal="center"/>
    </xf>
    <xf numFmtId="0" fontId="15" fillId="4" borderId="3" xfId="0" applyFont="1" applyFill="1" applyBorder="1" applyAlignment="1">
      <alignment wrapText="1"/>
    </xf>
    <xf numFmtId="0" fontId="13" fillId="4" borderId="4" xfId="0" applyFont="1" applyFill="1" applyBorder="1"/>
    <xf numFmtId="42" fontId="15" fillId="4" borderId="5" xfId="2" applyFont="1" applyFill="1" applyBorder="1"/>
    <xf numFmtId="42" fontId="15" fillId="4" borderId="16" xfId="2" applyFont="1" applyFill="1" applyBorder="1"/>
    <xf numFmtId="0" fontId="14" fillId="4" borderId="0" xfId="0" applyFont="1" applyFill="1"/>
    <xf numFmtId="0" fontId="10" fillId="4" borderId="0" xfId="0" applyFont="1" applyFill="1"/>
    <xf numFmtId="0" fontId="9" fillId="4" borderId="2" xfId="0" applyFont="1" applyFill="1" applyBorder="1"/>
    <xf numFmtId="41" fontId="9" fillId="4" borderId="2" xfId="0" applyNumberFormat="1" applyFont="1" applyFill="1" applyBorder="1"/>
    <xf numFmtId="42" fontId="9" fillId="4" borderId="2" xfId="0" applyNumberFormat="1" applyFont="1" applyFill="1" applyBorder="1"/>
    <xf numFmtId="0" fontId="15" fillId="4" borderId="3" xfId="0" applyFont="1" applyFill="1" applyBorder="1" applyAlignment="1"/>
    <xf numFmtId="0" fontId="14" fillId="4" borderId="2" xfId="0" applyFont="1" applyFill="1" applyBorder="1"/>
    <xf numFmtId="0" fontId="15" fillId="4" borderId="7" xfId="0" applyFont="1" applyFill="1" applyBorder="1" applyAlignment="1">
      <alignment wrapText="1"/>
    </xf>
    <xf numFmtId="0" fontId="13" fillId="4" borderId="8" xfId="0" applyFont="1" applyFill="1" applyBorder="1"/>
    <xf numFmtId="42" fontId="15" fillId="4" borderId="9" xfId="2" applyFont="1" applyFill="1" applyBorder="1"/>
    <xf numFmtId="0" fontId="0" fillId="2" borderId="7" xfId="0" applyFont="1" applyFill="1" applyBorder="1"/>
    <xf numFmtId="0" fontId="16" fillId="2" borderId="7" xfId="0" applyFont="1" applyFill="1" applyBorder="1"/>
    <xf numFmtId="0" fontId="5" fillId="2" borderId="8" xfId="0" applyFont="1" applyFill="1" applyBorder="1" applyAlignment="1">
      <alignment horizontal="right"/>
    </xf>
    <xf numFmtId="42" fontId="16" fillId="2" borderId="9" xfId="2" applyFont="1" applyFill="1" applyBorder="1"/>
    <xf numFmtId="0" fontId="0" fillId="4" borderId="0" xfId="0" applyFill="1"/>
    <xf numFmtId="0" fontId="11" fillId="4" borderId="0" xfId="0" applyFont="1" applyFill="1"/>
    <xf numFmtId="9" fontId="6" fillId="0" borderId="0" xfId="3" applyFont="1" applyBorder="1"/>
    <xf numFmtId="9" fontId="6" fillId="0" borderId="23" xfId="3" applyFont="1" applyBorder="1"/>
    <xf numFmtId="42" fontId="6" fillId="0" borderId="1" xfId="2" applyFont="1" applyBorder="1"/>
    <xf numFmtId="42" fontId="6" fillId="0" borderId="24" xfId="2" applyFont="1" applyBorder="1"/>
    <xf numFmtId="0" fontId="6" fillId="0" borderId="23" xfId="0" applyFont="1" applyBorder="1"/>
    <xf numFmtId="42" fontId="6" fillId="0" borderId="2" xfId="2" applyFont="1" applyBorder="1"/>
    <xf numFmtId="42" fontId="6" fillId="0" borderId="25" xfId="2" applyFont="1" applyBorder="1"/>
    <xf numFmtId="42" fontId="6" fillId="0" borderId="6" xfId="2" applyFont="1" applyBorder="1"/>
    <xf numFmtId="42" fontId="6" fillId="0" borderId="26" xfId="2" applyFont="1" applyBorder="1"/>
    <xf numFmtId="0" fontId="2" fillId="2" borderId="6" xfId="0" applyFont="1" applyFill="1" applyBorder="1"/>
    <xf numFmtId="0" fontId="7" fillId="2" borderId="6" xfId="0" applyFont="1" applyFill="1" applyBorder="1"/>
    <xf numFmtId="0" fontId="7" fillId="2" borderId="22" xfId="0" applyFont="1" applyFill="1" applyBorder="1"/>
    <xf numFmtId="0" fontId="0" fillId="2" borderId="0" xfId="0" applyFill="1" applyBorder="1"/>
    <xf numFmtId="164" fontId="6" fillId="2" borderId="0" xfId="0" applyNumberFormat="1" applyFont="1" applyFill="1" applyBorder="1"/>
    <xf numFmtId="164" fontId="6" fillId="2" borderId="23" xfId="0" applyNumberFormat="1" applyFont="1" applyFill="1" applyBorder="1"/>
    <xf numFmtId="0" fontId="2" fillId="2" borderId="2" xfId="0" applyFont="1" applyFill="1" applyBorder="1"/>
    <xf numFmtId="42" fontId="7" fillId="2" borderId="2" xfId="0" applyNumberFormat="1" applyFont="1" applyFill="1" applyBorder="1"/>
    <xf numFmtId="42" fontId="7" fillId="2" borderId="25" xfId="0" applyNumberFormat="1" applyFont="1" applyFill="1" applyBorder="1"/>
    <xf numFmtId="42" fontId="2" fillId="2" borderId="2" xfId="2" applyFont="1" applyFill="1" applyBorder="1"/>
    <xf numFmtId="42" fontId="7" fillId="2" borderId="2" xfId="2" applyFont="1" applyFill="1" applyBorder="1"/>
    <xf numFmtId="42" fontId="7" fillId="2" borderId="25" xfId="2" applyFont="1" applyFill="1" applyBorder="1"/>
    <xf numFmtId="42" fontId="7" fillId="0" borderId="0" xfId="0" applyNumberFormat="1" applyFont="1"/>
    <xf numFmtId="42" fontId="7" fillId="0" borderId="23" xfId="0" applyNumberFormat="1" applyFont="1" applyBorder="1"/>
    <xf numFmtId="41" fontId="6" fillId="0" borderId="0" xfId="1" applyFont="1"/>
    <xf numFmtId="41" fontId="6" fillId="0" borderId="23" xfId="1" applyFont="1" applyBorder="1"/>
    <xf numFmtId="42" fontId="6" fillId="0" borderId="23" xfId="2" applyFont="1" applyBorder="1"/>
    <xf numFmtId="42" fontId="6" fillId="0" borderId="24" xfId="0" applyNumberFormat="1" applyFont="1" applyBorder="1"/>
    <xf numFmtId="42" fontId="2" fillId="2" borderId="2" xfId="0" applyNumberFormat="1" applyFont="1" applyFill="1" applyBorder="1"/>
    <xf numFmtId="9" fontId="6" fillId="0" borderId="1" xfId="3" applyFont="1" applyBorder="1"/>
    <xf numFmtId="9" fontId="6" fillId="0" borderId="24" xfId="3" applyFont="1" applyBorder="1"/>
    <xf numFmtId="0" fontId="18" fillId="4" borderId="0" xfId="0" applyFont="1" applyFill="1"/>
    <xf numFmtId="42" fontId="7" fillId="0" borderId="0" xfId="2" applyFont="1" applyFill="1" applyBorder="1"/>
    <xf numFmtId="42" fontId="7" fillId="0" borderId="23" xfId="2" applyFont="1" applyFill="1" applyBorder="1"/>
    <xf numFmtId="1" fontId="7" fillId="2" borderId="6" xfId="0" applyNumberFormat="1" applyFont="1" applyFill="1" applyBorder="1"/>
    <xf numFmtId="1" fontId="7" fillId="2" borderId="22" xfId="0" applyNumberFormat="1" applyFont="1" applyFill="1" applyBorder="1"/>
    <xf numFmtId="164" fontId="0" fillId="2" borderId="0" xfId="0" applyNumberFormat="1" applyFill="1" applyBorder="1"/>
    <xf numFmtId="0" fontId="2" fillId="4" borderId="16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4" borderId="0" xfId="0" applyFill="1" applyAlignment="1">
      <alignment horizontal="center"/>
    </xf>
    <xf numFmtId="0" fontId="9" fillId="4" borderId="0" xfId="0" applyFont="1" applyFill="1"/>
    <xf numFmtId="0" fontId="7" fillId="3" borderId="15" xfId="0" applyFont="1" applyFill="1" applyBorder="1" applyAlignment="1">
      <alignment horizontal="center"/>
    </xf>
    <xf numFmtId="42" fontId="0" fillId="3" borderId="0" xfId="0" applyNumberFormat="1" applyFill="1"/>
    <xf numFmtId="0" fontId="3" fillId="0" borderId="0" xfId="0" quotePrefix="1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42" fontId="3" fillId="2" borderId="16" xfId="2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3" fontId="0" fillId="3" borderId="27" xfId="0" applyNumberForma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</cellXfs>
  <cellStyles count="4">
    <cellStyle name="Millares [0]" xfId="1" builtinId="6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33CCCC"/>
      <color rgb="FF00CCFF"/>
      <color rgb="FF33CCFF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1422</xdr:colOff>
      <xdr:row>0</xdr:row>
      <xdr:rowOff>0</xdr:rowOff>
    </xdr:from>
    <xdr:to>
      <xdr:col>5</xdr:col>
      <xdr:colOff>10948</xdr:colOff>
      <xdr:row>4</xdr:row>
      <xdr:rowOff>426983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5905" y="0"/>
          <a:ext cx="7859440" cy="1171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abSelected="1" topLeftCell="D1" zoomScale="87" zoomScaleNormal="87" workbookViewId="0">
      <selection activeCell="D9" sqref="D9"/>
    </sheetView>
  </sheetViews>
  <sheetFormatPr baseColWidth="10" defaultRowHeight="15" x14ac:dyDescent="0.25"/>
  <cols>
    <col min="1" max="2" width="11.42578125" style="88"/>
    <col min="3" max="3" width="7.140625" customWidth="1"/>
    <col min="4" max="4" width="92" customWidth="1"/>
    <col min="5" max="5" width="25.7109375" customWidth="1"/>
    <col min="6" max="6" width="21" customWidth="1"/>
    <col min="7" max="7" width="16" customWidth="1"/>
  </cols>
  <sheetData>
    <row r="1" spans="4:8" s="88" customFormat="1" x14ac:dyDescent="0.25"/>
    <row r="2" spans="4:8" s="88" customFormat="1" x14ac:dyDescent="0.25"/>
    <row r="3" spans="4:8" s="88" customFormat="1" x14ac:dyDescent="0.25"/>
    <row r="4" spans="4:8" s="88" customFormat="1" x14ac:dyDescent="0.25"/>
    <row r="5" spans="4:8" s="88" customFormat="1" ht="37.5" customHeight="1" x14ac:dyDescent="0.25"/>
    <row r="6" spans="4:8" ht="16.5" customHeight="1" x14ac:dyDescent="0.3">
      <c r="D6" s="195" t="s">
        <v>0</v>
      </c>
      <c r="E6" s="196"/>
    </row>
    <row r="7" spans="4:8" s="88" customFormat="1" ht="15" customHeight="1" x14ac:dyDescent="0.25">
      <c r="D7" s="208" t="s">
        <v>219</v>
      </c>
      <c r="E7" s="209"/>
    </row>
    <row r="8" spans="4:8" ht="15.75" x14ac:dyDescent="0.25">
      <c r="D8" s="197" t="s">
        <v>2</v>
      </c>
      <c r="E8" s="198"/>
      <c r="G8" s="88" t="s">
        <v>162</v>
      </c>
    </row>
    <row r="9" spans="4:8" x14ac:dyDescent="0.25">
      <c r="D9" s="49" t="s">
        <v>3</v>
      </c>
      <c r="E9" s="190" t="s">
        <v>199</v>
      </c>
      <c r="G9" s="88" t="s">
        <v>160</v>
      </c>
    </row>
    <row r="10" spans="4:8" hidden="1" x14ac:dyDescent="0.25">
      <c r="D10" s="49" t="s">
        <v>21</v>
      </c>
      <c r="E10" s="60"/>
      <c r="F10">
        <v>8</v>
      </c>
      <c r="G10" s="88" t="s">
        <v>21</v>
      </c>
    </row>
    <row r="11" spans="4:8" hidden="1" x14ac:dyDescent="0.25">
      <c r="D11" s="49" t="s">
        <v>35</v>
      </c>
      <c r="E11" s="60"/>
      <c r="F11">
        <v>5</v>
      </c>
      <c r="G11" s="88" t="s">
        <v>35</v>
      </c>
    </row>
    <row r="12" spans="4:8" x14ac:dyDescent="0.25">
      <c r="D12" s="49" t="s">
        <v>95</v>
      </c>
      <c r="E12" s="61">
        <v>4.5</v>
      </c>
      <c r="F12" t="s">
        <v>160</v>
      </c>
      <c r="G12" s="88" t="s">
        <v>160</v>
      </c>
    </row>
    <row r="13" spans="4:8" x14ac:dyDescent="0.25">
      <c r="D13" s="49" t="s">
        <v>4</v>
      </c>
      <c r="E13" s="60">
        <v>5</v>
      </c>
      <c r="F13" s="88"/>
      <c r="G13" s="88" t="s">
        <v>160</v>
      </c>
    </row>
    <row r="14" spans="4:8" x14ac:dyDescent="0.25">
      <c r="D14" s="49" t="s">
        <v>8</v>
      </c>
      <c r="E14" s="60">
        <v>21</v>
      </c>
      <c r="F14" t="s">
        <v>160</v>
      </c>
      <c r="G14" s="88" t="s">
        <v>160</v>
      </c>
    </row>
    <row r="15" spans="4:8" x14ac:dyDescent="0.25">
      <c r="D15" s="49" t="s">
        <v>49</v>
      </c>
      <c r="E15" s="62">
        <v>8</v>
      </c>
      <c r="F15" t="s">
        <v>160</v>
      </c>
      <c r="G15" s="88" t="s">
        <v>160</v>
      </c>
    </row>
    <row r="16" spans="4:8" x14ac:dyDescent="0.25">
      <c r="D16" s="49" t="s">
        <v>55</v>
      </c>
      <c r="E16" s="50">
        <v>110</v>
      </c>
      <c r="F16" t="s">
        <v>160</v>
      </c>
      <c r="G16" s="88" t="s">
        <v>160</v>
      </c>
      <c r="H16" t="s">
        <v>160</v>
      </c>
    </row>
    <row r="17" spans="3:8" x14ac:dyDescent="0.25">
      <c r="D17" s="49" t="s">
        <v>87</v>
      </c>
      <c r="E17" s="63">
        <v>0.95</v>
      </c>
      <c r="F17" t="s">
        <v>160</v>
      </c>
      <c r="G17" s="88" t="s">
        <v>160</v>
      </c>
    </row>
    <row r="18" spans="3:8" x14ac:dyDescent="0.25">
      <c r="D18" s="49" t="s">
        <v>85</v>
      </c>
      <c r="E18" s="54">
        <v>6000</v>
      </c>
      <c r="G18" s="88" t="s">
        <v>160</v>
      </c>
      <c r="H18" t="s">
        <v>160</v>
      </c>
    </row>
    <row r="19" spans="3:8" ht="15.75" thickBot="1" x14ac:dyDescent="0.3">
      <c r="D19" s="47" t="s">
        <v>86</v>
      </c>
      <c r="E19" s="94">
        <v>7500</v>
      </c>
      <c r="F19" t="s">
        <v>160</v>
      </c>
      <c r="G19" s="88" t="s">
        <v>160</v>
      </c>
      <c r="H19" t="s">
        <v>160</v>
      </c>
    </row>
    <row r="20" spans="3:8" ht="15.75" thickTop="1" x14ac:dyDescent="0.25">
      <c r="D20" s="45" t="s">
        <v>81</v>
      </c>
      <c r="E20" s="56">
        <v>0.9</v>
      </c>
      <c r="G20" s="88"/>
    </row>
    <row r="21" spans="3:8" ht="15.75" thickBot="1" x14ac:dyDescent="0.3">
      <c r="D21" s="47" t="s">
        <v>82</v>
      </c>
      <c r="E21" s="57">
        <v>0.8</v>
      </c>
    </row>
    <row r="22" spans="3:8" ht="15.75" thickTop="1" x14ac:dyDescent="0.25">
      <c r="D22" s="45" t="s">
        <v>83</v>
      </c>
      <c r="E22" s="58">
        <v>320</v>
      </c>
    </row>
    <row r="23" spans="3:8" ht="15.75" thickBot="1" x14ac:dyDescent="0.3">
      <c r="D23" s="47" t="s">
        <v>84</v>
      </c>
      <c r="E23" s="59">
        <v>430</v>
      </c>
    </row>
    <row r="24" spans="3:8" ht="15.75" thickTop="1" x14ac:dyDescent="0.25">
      <c r="D24" s="45" t="s">
        <v>45</v>
      </c>
      <c r="E24" s="58">
        <v>150</v>
      </c>
    </row>
    <row r="25" spans="3:8" ht="15.75" thickBot="1" x14ac:dyDescent="0.3">
      <c r="D25" s="47" t="s">
        <v>46</v>
      </c>
      <c r="E25" s="87">
        <f>+E24*365/1000</f>
        <v>54.75</v>
      </c>
    </row>
    <row r="26" spans="3:8" ht="15.75" thickTop="1" x14ac:dyDescent="0.25">
      <c r="D26" s="45" t="s">
        <v>98</v>
      </c>
      <c r="E26" s="53">
        <v>380</v>
      </c>
    </row>
    <row r="27" spans="3:8" ht="15.75" thickBot="1" x14ac:dyDescent="0.3">
      <c r="D27" s="47" t="s">
        <v>96</v>
      </c>
      <c r="E27" s="51">
        <f>+E26*E25</f>
        <v>20805</v>
      </c>
    </row>
    <row r="28" spans="3:8" ht="15.75" thickTop="1" x14ac:dyDescent="0.25">
      <c r="C28" s="52"/>
      <c r="D28" s="52"/>
      <c r="E28" s="52"/>
      <c r="F28" s="52"/>
    </row>
    <row r="29" spans="3:8" ht="15.75" x14ac:dyDescent="0.25">
      <c r="D29" s="197" t="s">
        <v>214</v>
      </c>
      <c r="E29" s="198"/>
      <c r="F29" s="119" t="s">
        <v>107</v>
      </c>
      <c r="G29" s="119" t="s">
        <v>108</v>
      </c>
    </row>
    <row r="30" spans="3:8" x14ac:dyDescent="0.25">
      <c r="D30" s="118" t="s">
        <v>189</v>
      </c>
      <c r="E30" s="50">
        <v>14000</v>
      </c>
      <c r="F30" s="72"/>
      <c r="G30" s="73"/>
    </row>
    <row r="31" spans="3:8" ht="15.75" thickBot="1" x14ac:dyDescent="0.3">
      <c r="D31" s="47" t="s">
        <v>102</v>
      </c>
      <c r="E31" s="51">
        <v>14</v>
      </c>
      <c r="F31" s="74">
        <v>2</v>
      </c>
      <c r="G31" s="75">
        <f>F31*Valor_dosis_BronqInfMA5</f>
        <v>28</v>
      </c>
    </row>
    <row r="32" spans="3:8" ht="15.75" thickTop="1" x14ac:dyDescent="0.25">
      <c r="D32" s="45" t="s">
        <v>190</v>
      </c>
      <c r="E32" s="53">
        <v>12440</v>
      </c>
      <c r="F32" s="72"/>
      <c r="G32" s="73"/>
    </row>
    <row r="33" spans="4:7" ht="15.75" thickBot="1" x14ac:dyDescent="0.3">
      <c r="D33" s="47" t="s">
        <v>191</v>
      </c>
      <c r="E33" s="48">
        <v>12.44</v>
      </c>
      <c r="F33" s="74">
        <v>2</v>
      </c>
      <c r="G33" s="75">
        <v>24.88</v>
      </c>
    </row>
    <row r="34" spans="4:7" ht="15.75" thickTop="1" x14ac:dyDescent="0.25">
      <c r="D34" s="49" t="s">
        <v>161</v>
      </c>
      <c r="E34" s="54">
        <v>13000</v>
      </c>
      <c r="F34" s="72"/>
      <c r="G34" s="73" t="s">
        <v>160</v>
      </c>
    </row>
    <row r="35" spans="4:7" ht="15.75" thickBot="1" x14ac:dyDescent="0.3">
      <c r="D35" s="47" t="s">
        <v>103</v>
      </c>
      <c r="E35" s="51">
        <v>5.2</v>
      </c>
      <c r="F35" s="74">
        <v>4</v>
      </c>
      <c r="G35" s="75">
        <v>20.8</v>
      </c>
    </row>
    <row r="36" spans="4:7" ht="15.75" thickTop="1" x14ac:dyDescent="0.25">
      <c r="D36" s="49" t="s">
        <v>193</v>
      </c>
      <c r="E36" s="50">
        <v>36000</v>
      </c>
      <c r="F36" s="72"/>
      <c r="G36" s="73"/>
    </row>
    <row r="37" spans="4:7" ht="15.75" thickBot="1" x14ac:dyDescent="0.3">
      <c r="D37" s="47" t="s">
        <v>192</v>
      </c>
      <c r="E37" s="51">
        <v>14</v>
      </c>
      <c r="F37" s="74">
        <v>1</v>
      </c>
      <c r="G37" s="75">
        <f>F37+Valor_dosis_Salmonella</f>
        <v>15</v>
      </c>
    </row>
    <row r="38" spans="4:7" ht="15.75" thickTop="1" x14ac:dyDescent="0.25">
      <c r="D38" s="45" t="s">
        <v>213</v>
      </c>
      <c r="E38" s="46">
        <v>36000</v>
      </c>
      <c r="F38" s="72"/>
      <c r="G38" s="73" t="s">
        <v>160</v>
      </c>
    </row>
    <row r="39" spans="4:7" ht="15.75" thickBot="1" x14ac:dyDescent="0.3">
      <c r="D39" s="47" t="s">
        <v>194</v>
      </c>
      <c r="E39" s="51">
        <v>14.4</v>
      </c>
      <c r="F39" s="74">
        <v>1</v>
      </c>
      <c r="G39" s="75">
        <f>F39+Valor_dosis_DVEA</f>
        <v>15.4</v>
      </c>
    </row>
    <row r="40" spans="4:7" ht="15.75" thickTop="1" x14ac:dyDescent="0.25">
      <c r="D40" s="49" t="s">
        <v>205</v>
      </c>
      <c r="E40" s="50">
        <v>80000</v>
      </c>
      <c r="F40" s="72"/>
      <c r="G40" s="73"/>
    </row>
    <row r="41" spans="4:7" ht="15.75" thickBot="1" x14ac:dyDescent="0.3">
      <c r="D41" s="49" t="s">
        <v>192</v>
      </c>
      <c r="E41" s="50">
        <v>40</v>
      </c>
      <c r="F41" s="74">
        <v>1</v>
      </c>
      <c r="G41" s="75">
        <f>Valor_dosis_NewcastClone*F41</f>
        <v>40</v>
      </c>
    </row>
    <row r="42" spans="4:7" ht="15.75" thickTop="1" x14ac:dyDescent="0.25">
      <c r="D42" s="45" t="s">
        <v>206</v>
      </c>
      <c r="E42" s="46">
        <v>40000</v>
      </c>
      <c r="F42" s="72"/>
      <c r="G42" s="73"/>
    </row>
    <row r="43" spans="4:7" ht="15.75" thickBot="1" x14ac:dyDescent="0.3">
      <c r="D43" s="47" t="s">
        <v>195</v>
      </c>
      <c r="E43" s="51">
        <v>20</v>
      </c>
      <c r="F43" s="74">
        <v>1</v>
      </c>
      <c r="G43" s="75">
        <f>valor_dosis_gumboro+F43</f>
        <v>21</v>
      </c>
    </row>
    <row r="44" spans="4:7" ht="15.75" thickTop="1" x14ac:dyDescent="0.25">
      <c r="D44" s="45" t="s">
        <v>207</v>
      </c>
      <c r="E44" s="111">
        <v>40000</v>
      </c>
      <c r="F44" s="72"/>
      <c r="G44" s="73"/>
    </row>
    <row r="45" spans="4:7" ht="15.75" thickBot="1" x14ac:dyDescent="0.3">
      <c r="D45" s="47" t="s">
        <v>196</v>
      </c>
      <c r="E45" s="112">
        <v>20</v>
      </c>
      <c r="F45" s="74">
        <v>1</v>
      </c>
      <c r="G45" s="75">
        <f>Valor_dosis_newcastle*F45</f>
        <v>20</v>
      </c>
    </row>
    <row r="46" spans="4:7" s="88" customFormat="1" ht="15.75" thickTop="1" x14ac:dyDescent="0.25">
      <c r="D46" s="45" t="s">
        <v>208</v>
      </c>
      <c r="E46" s="111">
        <v>40000</v>
      </c>
      <c r="F46" s="72"/>
      <c r="G46" s="73" t="s">
        <v>160</v>
      </c>
    </row>
    <row r="47" spans="4:7" s="88" customFormat="1" ht="15.75" thickBot="1" x14ac:dyDescent="0.3">
      <c r="D47" s="47" t="s">
        <v>197</v>
      </c>
      <c r="E47" s="112">
        <v>20</v>
      </c>
      <c r="F47" s="74">
        <v>1</v>
      </c>
      <c r="G47" s="75">
        <f>E47*F47</f>
        <v>20</v>
      </c>
    </row>
    <row r="48" spans="4:7" s="88" customFormat="1" ht="15.75" thickTop="1" x14ac:dyDescent="0.25">
      <c r="D48" s="49" t="s">
        <v>209</v>
      </c>
      <c r="E48" s="50">
        <v>110000</v>
      </c>
      <c r="F48" s="30"/>
      <c r="G48" s="76" t="s">
        <v>160</v>
      </c>
    </row>
    <row r="49" spans="3:8" s="88" customFormat="1" ht="15.75" thickBot="1" x14ac:dyDescent="0.3">
      <c r="D49" s="49" t="s">
        <v>198</v>
      </c>
      <c r="E49" s="50">
        <v>55</v>
      </c>
      <c r="F49" s="30">
        <v>1</v>
      </c>
      <c r="G49" s="76">
        <f>E49*F49</f>
        <v>55</v>
      </c>
    </row>
    <row r="50" spans="3:8" ht="18.75" customHeight="1" thickTop="1" x14ac:dyDescent="0.25">
      <c r="C50" s="52"/>
      <c r="D50" s="45" t="s">
        <v>104</v>
      </c>
      <c r="E50" s="53">
        <v>31000</v>
      </c>
      <c r="F50" s="193" t="s">
        <v>122</v>
      </c>
      <c r="G50" s="194">
        <f>G31+G33+G35+G37+G39+G41+G43+G45+G47+G49</f>
        <v>260.08</v>
      </c>
    </row>
    <row r="51" spans="3:8" x14ac:dyDescent="0.25">
      <c r="C51" s="52"/>
      <c r="D51" s="49" t="s">
        <v>105</v>
      </c>
      <c r="E51" s="50">
        <v>3750</v>
      </c>
      <c r="F51" s="193"/>
      <c r="G51" s="194"/>
      <c r="H51" s="88"/>
    </row>
    <row r="52" spans="3:8" ht="15.75" thickBot="1" x14ac:dyDescent="0.3">
      <c r="C52" s="52"/>
      <c r="D52" s="47" t="s">
        <v>106</v>
      </c>
      <c r="E52" s="51">
        <v>9095</v>
      </c>
      <c r="F52" s="193"/>
      <c r="G52" s="194"/>
      <c r="H52" s="88"/>
    </row>
    <row r="53" spans="3:8" ht="15.75" thickTop="1" x14ac:dyDescent="0.25">
      <c r="C53" s="52"/>
      <c r="D53" s="49" t="s">
        <v>215</v>
      </c>
      <c r="F53" s="52"/>
    </row>
    <row r="54" spans="3:8" x14ac:dyDescent="0.25">
      <c r="D54" s="3" t="s">
        <v>70</v>
      </c>
    </row>
    <row r="55" spans="3:8" x14ac:dyDescent="0.25">
      <c r="D55" s="26" t="s">
        <v>1</v>
      </c>
      <c r="E55">
        <v>500</v>
      </c>
      <c r="G55" t="s">
        <v>160</v>
      </c>
    </row>
    <row r="56" spans="3:8" x14ac:dyDescent="0.25">
      <c r="D56" s="26" t="s">
        <v>6</v>
      </c>
      <c r="E56" s="1">
        <f>+E55/E12</f>
        <v>111.11111111111111</v>
      </c>
      <c r="G56" t="s">
        <v>160</v>
      </c>
      <c r="H56" t="s">
        <v>160</v>
      </c>
    </row>
    <row r="57" spans="3:8" x14ac:dyDescent="0.25">
      <c r="D57" s="26" t="s">
        <v>7</v>
      </c>
      <c r="E57" s="1" t="s">
        <v>37</v>
      </c>
    </row>
    <row r="58" spans="3:8" x14ac:dyDescent="0.25">
      <c r="D58" s="26" t="s">
        <v>9</v>
      </c>
      <c r="E58" s="2">
        <v>25</v>
      </c>
    </row>
    <row r="59" spans="3:8" x14ac:dyDescent="0.25">
      <c r="D59" s="26" t="s">
        <v>5</v>
      </c>
      <c r="E59">
        <v>100</v>
      </c>
    </row>
    <row r="61" spans="3:8" x14ac:dyDescent="0.25">
      <c r="D61" s="120" t="s">
        <v>10</v>
      </c>
      <c r="E61" s="121" t="s">
        <v>11</v>
      </c>
      <c r="F61" s="122" t="s">
        <v>28</v>
      </c>
      <c r="G61" s="123" t="s">
        <v>12</v>
      </c>
    </row>
    <row r="62" spans="3:8" x14ac:dyDescent="0.25">
      <c r="D62" s="27" t="s">
        <v>204</v>
      </c>
      <c r="E62" s="28">
        <v>17</v>
      </c>
      <c r="F62" s="106">
        <v>6300</v>
      </c>
      <c r="G62" s="106">
        <f t="shared" ref="G62:G72" si="0">+F62*E62</f>
        <v>107100</v>
      </c>
    </row>
    <row r="63" spans="3:8" x14ac:dyDescent="0.25">
      <c r="D63" s="27" t="s">
        <v>13</v>
      </c>
      <c r="E63" s="28">
        <v>6</v>
      </c>
      <c r="F63" s="106">
        <v>5500</v>
      </c>
      <c r="G63" s="106">
        <f t="shared" si="0"/>
        <v>33000</v>
      </c>
    </row>
    <row r="64" spans="3:8" x14ac:dyDescent="0.25">
      <c r="D64" s="27" t="s">
        <v>23</v>
      </c>
      <c r="E64" s="28">
        <v>16</v>
      </c>
      <c r="F64" s="106">
        <v>1500</v>
      </c>
      <c r="G64" s="106">
        <f t="shared" si="0"/>
        <v>24000</v>
      </c>
    </row>
    <row r="65" spans="4:7" x14ac:dyDescent="0.25">
      <c r="D65" s="27" t="s">
        <v>14</v>
      </c>
      <c r="E65" s="28">
        <v>20</v>
      </c>
      <c r="F65" s="106">
        <v>1500</v>
      </c>
      <c r="G65" s="106">
        <f t="shared" si="0"/>
        <v>30000</v>
      </c>
    </row>
    <row r="66" spans="4:7" x14ac:dyDescent="0.25">
      <c r="D66" s="27" t="s">
        <v>24</v>
      </c>
      <c r="E66" s="28">
        <v>58</v>
      </c>
      <c r="F66" s="106">
        <v>10000</v>
      </c>
      <c r="G66" s="106">
        <f t="shared" si="0"/>
        <v>580000</v>
      </c>
    </row>
    <row r="67" spans="4:7" x14ac:dyDescent="0.25">
      <c r="D67" s="27" t="s">
        <v>25</v>
      </c>
      <c r="E67" s="28">
        <v>91</v>
      </c>
      <c r="F67" s="106">
        <v>9700</v>
      </c>
      <c r="G67" s="106">
        <f t="shared" si="0"/>
        <v>882700</v>
      </c>
    </row>
    <row r="68" spans="4:7" ht="14.25" customHeight="1" x14ac:dyDescent="0.25">
      <c r="D68" s="27" t="s">
        <v>26</v>
      </c>
      <c r="E68" s="28">
        <f>+E66*6</f>
        <v>348</v>
      </c>
      <c r="F68" s="106">
        <v>400</v>
      </c>
      <c r="G68" s="106">
        <f t="shared" si="0"/>
        <v>139200</v>
      </c>
    </row>
    <row r="69" spans="4:7" ht="15" customHeight="1" x14ac:dyDescent="0.25">
      <c r="D69" s="27" t="s">
        <v>27</v>
      </c>
      <c r="E69" s="28">
        <v>1</v>
      </c>
      <c r="F69" s="106">
        <v>4330</v>
      </c>
      <c r="G69" s="106">
        <f t="shared" si="0"/>
        <v>4330</v>
      </c>
    </row>
    <row r="70" spans="4:7" x14ac:dyDescent="0.25">
      <c r="D70" s="27" t="s">
        <v>15</v>
      </c>
      <c r="E70" s="28">
        <v>3</v>
      </c>
      <c r="F70" s="106">
        <v>40000</v>
      </c>
      <c r="G70" s="106">
        <f t="shared" si="0"/>
        <v>120000</v>
      </c>
    </row>
    <row r="71" spans="4:7" x14ac:dyDescent="0.25">
      <c r="D71" s="27" t="s">
        <v>29</v>
      </c>
      <c r="E71" s="28">
        <v>1</v>
      </c>
      <c r="F71" s="106">
        <v>23000</v>
      </c>
      <c r="G71" s="106">
        <f t="shared" si="0"/>
        <v>23000</v>
      </c>
    </row>
    <row r="72" spans="4:7" x14ac:dyDescent="0.25">
      <c r="D72" s="27" t="s">
        <v>22</v>
      </c>
      <c r="E72" s="28">
        <v>42</v>
      </c>
      <c r="F72" s="106">
        <v>1600</v>
      </c>
      <c r="G72" s="106">
        <f t="shared" si="0"/>
        <v>67200</v>
      </c>
    </row>
    <row r="73" spans="4:7" x14ac:dyDescent="0.25">
      <c r="D73" s="27" t="s">
        <v>18</v>
      </c>
      <c r="E73" s="28">
        <f>+E59</f>
        <v>100</v>
      </c>
      <c r="F73" s="106">
        <v>6000</v>
      </c>
      <c r="G73" s="106">
        <f>+F73*E73</f>
        <v>600000</v>
      </c>
    </row>
    <row r="74" spans="4:7" x14ac:dyDescent="0.25">
      <c r="D74" s="27" t="s">
        <v>30</v>
      </c>
      <c r="E74" s="28">
        <v>40</v>
      </c>
      <c r="F74" s="106"/>
      <c r="G74" s="106">
        <f t="shared" ref="G74:G78" si="1">+F74*E74</f>
        <v>0</v>
      </c>
    </row>
    <row r="75" spans="4:7" x14ac:dyDescent="0.25">
      <c r="D75" s="27" t="s">
        <v>31</v>
      </c>
      <c r="E75" s="28">
        <v>1</v>
      </c>
      <c r="F75" s="106">
        <v>13000</v>
      </c>
      <c r="G75" s="106">
        <f>+F75*E75</f>
        <v>13000</v>
      </c>
    </row>
    <row r="76" spans="4:7" ht="13.5" customHeight="1" x14ac:dyDescent="0.25">
      <c r="D76" s="27" t="s">
        <v>32</v>
      </c>
      <c r="E76" s="28">
        <v>4</v>
      </c>
      <c r="F76" s="106">
        <v>6500</v>
      </c>
      <c r="G76" s="106">
        <f t="shared" si="1"/>
        <v>26000</v>
      </c>
    </row>
    <row r="77" spans="4:7" x14ac:dyDescent="0.25">
      <c r="D77" s="27" t="s">
        <v>19</v>
      </c>
      <c r="E77" s="29">
        <f>+E58</f>
        <v>25</v>
      </c>
      <c r="F77" s="106">
        <v>23000</v>
      </c>
      <c r="G77" s="106">
        <f t="shared" si="1"/>
        <v>575000</v>
      </c>
    </row>
    <row r="78" spans="4:7" x14ac:dyDescent="0.25">
      <c r="D78" s="27" t="s">
        <v>33</v>
      </c>
      <c r="E78" s="28">
        <v>8</v>
      </c>
      <c r="F78" s="106">
        <v>3200</v>
      </c>
      <c r="G78" s="106">
        <f t="shared" si="1"/>
        <v>25600</v>
      </c>
    </row>
    <row r="79" spans="4:7" x14ac:dyDescent="0.25">
      <c r="D79" s="27" t="s">
        <v>20</v>
      </c>
      <c r="F79" s="106">
        <v>1</v>
      </c>
      <c r="G79" s="106">
        <v>50000</v>
      </c>
    </row>
    <row r="80" spans="4:7" ht="15.75" thickBot="1" x14ac:dyDescent="0.3">
      <c r="D80" s="10" t="s">
        <v>71</v>
      </c>
      <c r="E80" s="11"/>
      <c r="F80" s="113"/>
      <c r="G80" s="114">
        <f>SUM(G62:G79)</f>
        <v>3300130</v>
      </c>
    </row>
    <row r="81" spans="4:7" ht="15.75" thickTop="1" x14ac:dyDescent="0.25">
      <c r="D81" s="12"/>
      <c r="E81" s="13"/>
      <c r="F81" s="13"/>
      <c r="G81" s="16"/>
    </row>
    <row r="82" spans="4:7" x14ac:dyDescent="0.25">
      <c r="D82" s="120" t="s">
        <v>36</v>
      </c>
      <c r="E82" s="124" t="s">
        <v>11</v>
      </c>
      <c r="F82" s="124" t="s">
        <v>28</v>
      </c>
      <c r="G82" s="124" t="s">
        <v>12</v>
      </c>
    </row>
    <row r="83" spans="4:7" x14ac:dyDescent="0.25">
      <c r="D83" s="6" t="s">
        <v>16</v>
      </c>
      <c r="E83" s="28">
        <v>1</v>
      </c>
      <c r="G83" s="14">
        <v>450000</v>
      </c>
    </row>
    <row r="84" spans="4:7" x14ac:dyDescent="0.25">
      <c r="D84" s="6" t="s">
        <v>17</v>
      </c>
      <c r="E84" s="28">
        <v>1</v>
      </c>
      <c r="G84" s="14">
        <v>25000</v>
      </c>
    </row>
    <row r="85" spans="4:7" x14ac:dyDescent="0.25">
      <c r="D85" s="6" t="s">
        <v>38</v>
      </c>
      <c r="E85" s="28">
        <v>1</v>
      </c>
      <c r="F85" s="4">
        <v>75000</v>
      </c>
      <c r="G85" s="14">
        <f>+F85*E85</f>
        <v>75000</v>
      </c>
    </row>
    <row r="86" spans="4:7" ht="15.75" thickBot="1" x14ac:dyDescent="0.3">
      <c r="D86" s="10" t="s">
        <v>72</v>
      </c>
      <c r="E86" s="11"/>
      <c r="F86" s="11"/>
      <c r="G86" s="15">
        <f>SUM(G83:G85)</f>
        <v>550000</v>
      </c>
    </row>
    <row r="87" spans="4:7" ht="15.75" thickTop="1" x14ac:dyDescent="0.25">
      <c r="D87" s="12"/>
      <c r="E87" s="13"/>
      <c r="F87" s="13"/>
      <c r="G87" s="16"/>
    </row>
    <row r="88" spans="4:7" x14ac:dyDescent="0.25">
      <c r="D88" s="12" t="s">
        <v>41</v>
      </c>
      <c r="E88" s="13"/>
      <c r="F88" s="13"/>
      <c r="G88" s="16">
        <f>+G80+G86</f>
        <v>3850130</v>
      </c>
    </row>
    <row r="89" spans="4:7" x14ac:dyDescent="0.25">
      <c r="D89" s="34" t="s">
        <v>73</v>
      </c>
      <c r="E89" s="18"/>
      <c r="F89" s="18"/>
      <c r="G89" s="21">
        <f>+G88*0.05</f>
        <v>192506.5</v>
      </c>
    </row>
    <row r="90" spans="4:7" ht="15.75" x14ac:dyDescent="0.25">
      <c r="D90" s="125" t="s">
        <v>74</v>
      </c>
      <c r="E90" s="126"/>
      <c r="F90" s="128"/>
      <c r="G90" s="127">
        <f>+G89+G88</f>
        <v>4042636.5</v>
      </c>
    </row>
    <row r="91" spans="4:7" ht="15.75" x14ac:dyDescent="0.25">
      <c r="D91" s="192"/>
      <c r="E91" s="192"/>
      <c r="F91" s="192"/>
      <c r="G91" s="192"/>
    </row>
    <row r="92" spans="4:7" ht="15.75" x14ac:dyDescent="0.25">
      <c r="D92" s="120" t="s">
        <v>40</v>
      </c>
      <c r="E92" s="124"/>
      <c r="F92" s="124"/>
      <c r="G92" s="132">
        <f>+G90/E56</f>
        <v>36383.728499999997</v>
      </c>
    </row>
    <row r="93" spans="4:7" x14ac:dyDescent="0.25">
      <c r="D93" s="12"/>
      <c r="E93" s="13"/>
      <c r="F93" s="13"/>
      <c r="G93" s="16"/>
    </row>
    <row r="94" spans="4:7" x14ac:dyDescent="0.25">
      <c r="D94" s="19" t="s">
        <v>39</v>
      </c>
      <c r="E94" s="30">
        <v>1</v>
      </c>
      <c r="F94" s="20">
        <v>75000</v>
      </c>
      <c r="G94" s="20">
        <f>+F94*E94</f>
        <v>75000</v>
      </c>
    </row>
    <row r="95" spans="4:7" ht="15.75" thickBot="1" x14ac:dyDescent="0.3">
      <c r="D95" s="115" t="s">
        <v>210</v>
      </c>
      <c r="E95" s="31">
        <f>+E55</f>
        <v>500</v>
      </c>
      <c r="F95" s="89">
        <v>7500</v>
      </c>
      <c r="G95" s="90">
        <f>+F95*E95</f>
        <v>3750000</v>
      </c>
    </row>
    <row r="96" spans="4:7" ht="16.5" thickTop="1" thickBot="1" x14ac:dyDescent="0.3">
      <c r="D96" s="10" t="s">
        <v>75</v>
      </c>
      <c r="E96" s="36"/>
      <c r="F96" s="15"/>
      <c r="G96" s="15">
        <f>+G95+G94</f>
        <v>3825000</v>
      </c>
    </row>
    <row r="97" spans="4:7" ht="15.75" thickTop="1" x14ac:dyDescent="0.25">
      <c r="D97" s="12"/>
      <c r="E97" s="13"/>
      <c r="F97" s="13"/>
      <c r="G97" s="16"/>
    </row>
    <row r="98" spans="4:7" ht="15.75" x14ac:dyDescent="0.25">
      <c r="D98" s="129" t="s">
        <v>76</v>
      </c>
      <c r="E98" s="130"/>
      <c r="F98" s="130"/>
      <c r="G98" s="131">
        <f>+G80+G86+G89+G96</f>
        <v>7867636.5</v>
      </c>
    </row>
    <row r="101" spans="4:7" x14ac:dyDescent="0.25">
      <c r="D101" s="133" t="s">
        <v>48</v>
      </c>
      <c r="E101" s="134"/>
      <c r="F101" s="134"/>
      <c r="G101" s="134"/>
    </row>
    <row r="102" spans="4:7" x14ac:dyDescent="0.25">
      <c r="D102" s="100" t="s">
        <v>123</v>
      </c>
      <c r="E102" s="100" t="s">
        <v>11</v>
      </c>
      <c r="F102" s="102" t="s">
        <v>28</v>
      </c>
      <c r="G102" s="103" t="s">
        <v>12</v>
      </c>
    </row>
    <row r="103" spans="4:7" x14ac:dyDescent="0.25">
      <c r="D103" s="101" t="s">
        <v>47</v>
      </c>
      <c r="E103" s="104">
        <f>+E55</f>
        <v>500</v>
      </c>
      <c r="F103" s="105">
        <v>17000</v>
      </c>
      <c r="G103" s="106">
        <f>+F103*E103</f>
        <v>8500000</v>
      </c>
    </row>
    <row r="104" spans="4:7" x14ac:dyDescent="0.25">
      <c r="D104" s="101" t="s">
        <v>50</v>
      </c>
      <c r="E104" s="107">
        <f>+E15</f>
        <v>8</v>
      </c>
      <c r="F104" s="106">
        <v>7000</v>
      </c>
      <c r="G104" s="106">
        <f t="shared" ref="G104:G109" si="2">+F104*E104</f>
        <v>56000</v>
      </c>
    </row>
    <row r="105" spans="4:7" x14ac:dyDescent="0.25">
      <c r="D105" s="101" t="s">
        <v>51</v>
      </c>
      <c r="E105" s="104">
        <v>12</v>
      </c>
      <c r="F105" s="106">
        <v>7000</v>
      </c>
      <c r="G105" s="106">
        <f t="shared" si="2"/>
        <v>84000</v>
      </c>
    </row>
    <row r="106" spans="4:7" x14ac:dyDescent="0.25">
      <c r="D106" s="101" t="s">
        <v>200</v>
      </c>
      <c r="E106" s="104">
        <v>1000</v>
      </c>
      <c r="F106" s="99">
        <f>Valor_dosis_Salmonella</f>
        <v>14</v>
      </c>
      <c r="G106" s="106">
        <f t="shared" si="2"/>
        <v>14000</v>
      </c>
    </row>
    <row r="107" spans="4:7" x14ac:dyDescent="0.25">
      <c r="D107" s="101" t="s">
        <v>201</v>
      </c>
      <c r="E107" s="104">
        <v>1000</v>
      </c>
      <c r="F107" s="108">
        <f>Valor_dosis_Triple</f>
        <v>5.2</v>
      </c>
      <c r="G107" s="106">
        <f>+F107*E107</f>
        <v>5200</v>
      </c>
    </row>
    <row r="108" spans="4:7" x14ac:dyDescent="0.25">
      <c r="D108" s="101" t="s">
        <v>78</v>
      </c>
      <c r="E108" s="104">
        <v>4</v>
      </c>
      <c r="F108" s="106">
        <v>25000</v>
      </c>
      <c r="G108" s="106">
        <f t="shared" si="2"/>
        <v>100000</v>
      </c>
    </row>
    <row r="109" spans="4:7" x14ac:dyDescent="0.25">
      <c r="D109" s="101" t="s">
        <v>53</v>
      </c>
      <c r="E109" s="104">
        <v>1</v>
      </c>
      <c r="F109" s="106">
        <v>70000</v>
      </c>
      <c r="G109" s="106">
        <f t="shared" si="2"/>
        <v>70000</v>
      </c>
    </row>
    <row r="110" spans="4:7" ht="15.75" thickBot="1" x14ac:dyDescent="0.3">
      <c r="D110" s="109" t="s">
        <v>57</v>
      </c>
      <c r="E110" s="109"/>
      <c r="F110" s="109"/>
      <c r="G110" s="110">
        <f>SUM(G103:G109)</f>
        <v>8829200</v>
      </c>
    </row>
    <row r="111" spans="4:7" ht="15.75" thickTop="1" x14ac:dyDescent="0.25">
      <c r="D111" s="18" t="s">
        <v>56</v>
      </c>
      <c r="E111" s="18"/>
      <c r="F111" s="18"/>
      <c r="G111" s="37">
        <f>+G110*0.05</f>
        <v>441460</v>
      </c>
    </row>
    <row r="112" spans="4:7" x14ac:dyDescent="0.25">
      <c r="D112" s="32"/>
      <c r="E112" s="32"/>
      <c r="F112" s="32"/>
      <c r="G112" s="33"/>
    </row>
    <row r="113" spans="4:8" ht="15.75" thickBot="1" x14ac:dyDescent="0.3">
      <c r="D113" s="135" t="s">
        <v>58</v>
      </c>
      <c r="E113" s="135"/>
      <c r="F113" s="135"/>
      <c r="G113" s="137">
        <f>+G111+G110</f>
        <v>9270660</v>
      </c>
    </row>
    <row r="114" spans="4:8" ht="15.75" thickTop="1" x14ac:dyDescent="0.25"/>
    <row r="115" spans="4:8" ht="15.75" thickBot="1" x14ac:dyDescent="0.3">
      <c r="D115" s="135" t="s">
        <v>59</v>
      </c>
      <c r="E115" s="136">
        <f>+E55*E22</f>
        <v>160000</v>
      </c>
      <c r="F115" s="137">
        <f>precio_prom_veta_huevos</f>
        <v>110</v>
      </c>
      <c r="G115" s="136">
        <f>+F115*E115</f>
        <v>17600000</v>
      </c>
    </row>
    <row r="116" spans="4:8" ht="15.75" thickTop="1" x14ac:dyDescent="0.25"/>
    <row r="117" spans="4:8" ht="15.75" x14ac:dyDescent="0.25">
      <c r="D117" s="138" t="s">
        <v>157</v>
      </c>
      <c r="E117" s="130"/>
      <c r="F117" s="130"/>
      <c r="G117" s="131">
        <f>+G115-G113</f>
        <v>8329340</v>
      </c>
    </row>
    <row r="118" spans="4:8" x14ac:dyDescent="0.25">
      <c r="E118" s="8"/>
    </row>
    <row r="119" spans="4:8" x14ac:dyDescent="0.25">
      <c r="F119" s="116" t="s">
        <v>79</v>
      </c>
      <c r="G119" s="117">
        <f>+G117/E115</f>
        <v>52.058374999999998</v>
      </c>
    </row>
    <row r="120" spans="4:8" x14ac:dyDescent="0.25">
      <c r="E120" s="43"/>
    </row>
    <row r="122" spans="4:8" ht="15.75" thickBot="1" x14ac:dyDescent="0.3">
      <c r="D122" s="139" t="s">
        <v>118</v>
      </c>
    </row>
    <row r="123" spans="4:8" ht="15.75" thickTop="1" x14ac:dyDescent="0.25">
      <c r="D123" t="s">
        <v>2</v>
      </c>
    </row>
    <row r="124" spans="4:8" x14ac:dyDescent="0.25">
      <c r="D124" s="26" t="s">
        <v>119</v>
      </c>
      <c r="E124" s="55">
        <v>1450</v>
      </c>
    </row>
    <row r="125" spans="4:8" x14ac:dyDescent="0.25">
      <c r="D125" s="26" t="s">
        <v>97</v>
      </c>
      <c r="E125" s="5">
        <v>80</v>
      </c>
    </row>
    <row r="126" spans="4:8" x14ac:dyDescent="0.25">
      <c r="D126" s="26" t="s">
        <v>94</v>
      </c>
      <c r="E126" s="44">
        <f>+E125*15*0.007</f>
        <v>8.4</v>
      </c>
    </row>
    <row r="127" spans="4:8" x14ac:dyDescent="0.25">
      <c r="D127" s="26" t="s">
        <v>99</v>
      </c>
      <c r="E127" s="14">
        <v>310</v>
      </c>
      <c r="H127" t="s">
        <v>160</v>
      </c>
    </row>
    <row r="129" spans="4:11" x14ac:dyDescent="0.25">
      <c r="D129" s="3" t="s">
        <v>100</v>
      </c>
      <c r="E129" s="3" t="s">
        <v>11</v>
      </c>
      <c r="F129" s="7" t="s">
        <v>28</v>
      </c>
      <c r="G129" s="17" t="s">
        <v>12</v>
      </c>
    </row>
    <row r="130" spans="4:11" x14ac:dyDescent="0.25">
      <c r="D130" t="s">
        <v>109</v>
      </c>
      <c r="E130">
        <f>E55</f>
        <v>500</v>
      </c>
      <c r="F130" s="14">
        <v>1450</v>
      </c>
      <c r="G130" s="14">
        <f t="shared" ref="G130:G132" si="3">+F130*E130</f>
        <v>725000</v>
      </c>
      <c r="I130" s="28"/>
      <c r="K130" s="29"/>
    </row>
    <row r="131" spans="4:11" x14ac:dyDescent="0.25">
      <c r="D131" t="s">
        <v>110</v>
      </c>
      <c r="E131">
        <f>E55</f>
        <v>500</v>
      </c>
      <c r="F131" s="14">
        <v>2600</v>
      </c>
      <c r="G131" s="14">
        <f t="shared" si="3"/>
        <v>1300000</v>
      </c>
      <c r="I131" s="28"/>
      <c r="K131" s="29"/>
    </row>
    <row r="132" spans="4:11" x14ac:dyDescent="0.25">
      <c r="D132" t="s">
        <v>101</v>
      </c>
      <c r="E132">
        <f>E55</f>
        <v>500</v>
      </c>
      <c r="F132" s="14">
        <f>Cost_vacunas_porpollita</f>
        <v>260.08</v>
      </c>
      <c r="G132" s="14">
        <f t="shared" si="3"/>
        <v>130039.99999999999</v>
      </c>
      <c r="I132" s="28"/>
      <c r="K132" s="29"/>
    </row>
    <row r="133" spans="4:11" x14ac:dyDescent="0.25">
      <c r="D133" t="s">
        <v>111</v>
      </c>
      <c r="E133">
        <v>1</v>
      </c>
      <c r="F133" s="14">
        <f>(E50+E51+E52)</f>
        <v>43845</v>
      </c>
      <c r="G133" s="14">
        <f t="shared" ref="G133:G138" si="4">+F133*E133</f>
        <v>43845</v>
      </c>
      <c r="I133" s="28"/>
      <c r="K133" s="29"/>
    </row>
    <row r="134" spans="4:11" x14ac:dyDescent="0.25">
      <c r="D134" t="s">
        <v>120</v>
      </c>
      <c r="E134">
        <v>3.5</v>
      </c>
      <c r="F134" s="14">
        <v>21300</v>
      </c>
      <c r="G134" s="14">
        <f t="shared" si="4"/>
        <v>74550</v>
      </c>
      <c r="I134" s="28"/>
      <c r="K134" s="29"/>
    </row>
    <row r="135" spans="4:11" x14ac:dyDescent="0.25">
      <c r="D135" t="s">
        <v>50</v>
      </c>
      <c r="E135">
        <v>2</v>
      </c>
      <c r="F135" s="14">
        <v>600</v>
      </c>
      <c r="G135" s="14">
        <f t="shared" si="4"/>
        <v>1200</v>
      </c>
      <c r="I135" s="28"/>
      <c r="K135" s="29"/>
    </row>
    <row r="136" spans="4:11" x14ac:dyDescent="0.25">
      <c r="D136" t="s">
        <v>51</v>
      </c>
      <c r="E136">
        <v>2</v>
      </c>
      <c r="F136" s="14">
        <v>6000</v>
      </c>
      <c r="G136" s="14">
        <f t="shared" si="4"/>
        <v>12000</v>
      </c>
      <c r="I136" s="28"/>
      <c r="K136" s="29"/>
    </row>
    <row r="137" spans="4:11" x14ac:dyDescent="0.25">
      <c r="D137" t="s">
        <v>52</v>
      </c>
      <c r="E137">
        <v>1</v>
      </c>
      <c r="F137" s="14">
        <v>22000</v>
      </c>
      <c r="G137" s="14">
        <f t="shared" si="4"/>
        <v>22000</v>
      </c>
      <c r="I137" s="28"/>
      <c r="K137" s="29"/>
    </row>
    <row r="138" spans="4:11" x14ac:dyDescent="0.25">
      <c r="D138" t="s">
        <v>53</v>
      </c>
      <c r="E138">
        <v>1</v>
      </c>
      <c r="F138" s="14">
        <v>70000</v>
      </c>
      <c r="G138" s="14">
        <f t="shared" si="4"/>
        <v>70000</v>
      </c>
      <c r="I138" s="28"/>
      <c r="K138" s="29"/>
    </row>
    <row r="139" spans="4:11" ht="15.75" thickBot="1" x14ac:dyDescent="0.3">
      <c r="D139" s="24" t="s">
        <v>57</v>
      </c>
      <c r="E139" s="24"/>
      <c r="F139" s="24"/>
      <c r="G139" s="25">
        <f>SUM(G130:G138)</f>
        <v>2378635</v>
      </c>
    </row>
    <row r="140" spans="4:11" ht="15.75" thickTop="1" x14ac:dyDescent="0.25">
      <c r="D140" s="18" t="s">
        <v>56</v>
      </c>
      <c r="G140" s="14">
        <f>+G139*0.05</f>
        <v>118931.75</v>
      </c>
    </row>
    <row r="142" spans="4:11" ht="15.75" thickBot="1" x14ac:dyDescent="0.3">
      <c r="D142" s="24" t="s">
        <v>112</v>
      </c>
      <c r="E142" s="24"/>
      <c r="F142" s="24"/>
      <c r="G142" s="25">
        <f>+G140+G139</f>
        <v>2497566.75</v>
      </c>
    </row>
    <row r="143" spans="4:11" ht="16.5" thickTop="1" thickBot="1" x14ac:dyDescent="0.3"/>
    <row r="144" spans="4:11" ht="19.5" thickBot="1" x14ac:dyDescent="0.35">
      <c r="D144" s="143"/>
      <c r="E144" s="144"/>
      <c r="F144" s="145" t="s">
        <v>115</v>
      </c>
      <c r="G144" s="146">
        <f>+G142/E132</f>
        <v>4995.1334999999999</v>
      </c>
    </row>
    <row r="146" spans="4:7" x14ac:dyDescent="0.25">
      <c r="D146" s="3" t="s">
        <v>117</v>
      </c>
    </row>
    <row r="147" spans="4:7" x14ac:dyDescent="0.25">
      <c r="D147" t="s">
        <v>109</v>
      </c>
      <c r="E147">
        <v>500</v>
      </c>
      <c r="F147" s="14">
        <v>1400</v>
      </c>
      <c r="G147" s="14">
        <f>+F147*E147</f>
        <v>700000</v>
      </c>
    </row>
    <row r="148" spans="4:7" x14ac:dyDescent="0.25">
      <c r="D148" t="s">
        <v>113</v>
      </c>
      <c r="G148" s="23">
        <f>+G90</f>
        <v>4042636.5</v>
      </c>
    </row>
    <row r="149" spans="4:7" x14ac:dyDescent="0.25">
      <c r="D149" t="s">
        <v>121</v>
      </c>
      <c r="G149" s="14">
        <v>80000</v>
      </c>
    </row>
    <row r="150" spans="4:7" x14ac:dyDescent="0.25">
      <c r="D150" s="19" t="s">
        <v>39</v>
      </c>
      <c r="E150" s="91">
        <v>1</v>
      </c>
      <c r="F150" s="20">
        <v>75000</v>
      </c>
      <c r="G150" s="20">
        <f>+F150*E150</f>
        <v>75000</v>
      </c>
    </row>
    <row r="151" spans="4:7" ht="15.75" thickBot="1" x14ac:dyDescent="0.3">
      <c r="D151" t="s">
        <v>114</v>
      </c>
      <c r="E151">
        <v>1</v>
      </c>
      <c r="F151" s="14">
        <v>170000</v>
      </c>
      <c r="G151" s="14">
        <f>+F151*E151</f>
        <v>170000</v>
      </c>
    </row>
    <row r="152" spans="4:7" ht="16.5" customHeight="1" thickBot="1" x14ac:dyDescent="0.3">
      <c r="D152" s="140" t="s">
        <v>116</v>
      </c>
      <c r="E152" s="141"/>
      <c r="F152" s="141"/>
      <c r="G152" s="142">
        <f>SUM(G148:G151)</f>
        <v>4367636.5</v>
      </c>
    </row>
  </sheetData>
  <mergeCells count="7">
    <mergeCell ref="D91:G91"/>
    <mergeCell ref="F50:F52"/>
    <mergeCell ref="G50:G52"/>
    <mergeCell ref="D6:E6"/>
    <mergeCell ref="D7:E7"/>
    <mergeCell ref="D8:E8"/>
    <mergeCell ref="D29:E29"/>
  </mergeCells>
  <pageMargins left="0.7" right="0.7" top="0.75" bottom="0.75" header="0.3" footer="0.3"/>
  <pageSetup scale="94" orientation="portrait" r:id="rId1"/>
  <rowBreaks count="2" manualBreakCount="2">
    <brk id="53" min="3" max="6" man="1"/>
    <brk id="99" min="3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0"/>
  <sheetViews>
    <sheetView topLeftCell="A57" zoomScale="90" zoomScaleNormal="90" zoomScalePageLayoutView="93" workbookViewId="0">
      <selection activeCell="H68" sqref="H68"/>
    </sheetView>
  </sheetViews>
  <sheetFormatPr baseColWidth="10" defaultRowHeight="15" x14ac:dyDescent="0.25"/>
  <cols>
    <col min="1" max="1" width="8.85546875" customWidth="1"/>
    <col min="2" max="2" width="48.85546875" customWidth="1"/>
    <col min="3" max="3" width="13" bestFit="1" customWidth="1"/>
    <col min="4" max="5" width="11.85546875" bestFit="1" customWidth="1"/>
    <col min="6" max="6" width="11.85546875" hidden="1" customWidth="1"/>
    <col min="7" max="10" width="11.85546875" bestFit="1" customWidth="1"/>
    <col min="11" max="11" width="12.5703125" customWidth="1"/>
  </cols>
  <sheetData>
    <row r="1" spans="2:11" ht="21" x14ac:dyDescent="0.35">
      <c r="B1" s="148" t="s">
        <v>216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2:11" ht="10.5" customHeight="1" thickBot="1" x14ac:dyDescent="0.3"/>
    <row r="3" spans="2:11" ht="15.75" thickTop="1" x14ac:dyDescent="0.25">
      <c r="B3" s="158" t="s">
        <v>1</v>
      </c>
      <c r="C3" s="159">
        <v>500</v>
      </c>
      <c r="D3" s="159">
        <v>250</v>
      </c>
      <c r="E3" s="159">
        <v>200</v>
      </c>
      <c r="F3" s="159">
        <v>180</v>
      </c>
      <c r="G3" s="159">
        <v>150</v>
      </c>
      <c r="H3" s="160">
        <v>125</v>
      </c>
      <c r="I3" s="159">
        <v>80</v>
      </c>
      <c r="J3" s="159">
        <v>50</v>
      </c>
      <c r="K3" s="159">
        <v>20</v>
      </c>
    </row>
    <row r="4" spans="2:11" x14ac:dyDescent="0.25">
      <c r="B4" s="161" t="s">
        <v>6</v>
      </c>
      <c r="C4" s="162">
        <f t="shared" ref="C4:K4" si="0">+C3/Num_avespor_m2</f>
        <v>111.11111111111111</v>
      </c>
      <c r="D4" s="162">
        <f t="shared" si="0"/>
        <v>55.555555555555557</v>
      </c>
      <c r="E4" s="162">
        <f t="shared" si="0"/>
        <v>44.444444444444443</v>
      </c>
      <c r="F4" s="162">
        <f t="shared" si="0"/>
        <v>40</v>
      </c>
      <c r="G4" s="162">
        <f t="shared" si="0"/>
        <v>33.333333333333336</v>
      </c>
      <c r="H4" s="163">
        <f t="shared" si="0"/>
        <v>27.777777777777779</v>
      </c>
      <c r="I4" s="162">
        <f t="shared" si="0"/>
        <v>17.777777777777779</v>
      </c>
      <c r="J4" s="162">
        <f t="shared" si="0"/>
        <v>11.111111111111111</v>
      </c>
      <c r="K4" s="162">
        <f t="shared" si="0"/>
        <v>4.4444444444444446</v>
      </c>
    </row>
    <row r="5" spans="2:11" x14ac:dyDescent="0.25">
      <c r="B5" s="13" t="s">
        <v>66</v>
      </c>
      <c r="C5" s="149">
        <v>0.9</v>
      </c>
      <c r="D5" s="149">
        <v>0.9</v>
      </c>
      <c r="E5" s="149">
        <v>0.9</v>
      </c>
      <c r="F5" s="149">
        <v>0.9</v>
      </c>
      <c r="G5" s="149">
        <v>0.9</v>
      </c>
      <c r="H5" s="150">
        <v>0.9</v>
      </c>
      <c r="I5" s="149">
        <v>0.9</v>
      </c>
      <c r="J5" s="149">
        <v>0.9</v>
      </c>
      <c r="K5" s="149">
        <v>0.9</v>
      </c>
    </row>
    <row r="6" spans="2:11" ht="15.75" thickBot="1" x14ac:dyDescent="0.3">
      <c r="B6" s="9" t="s">
        <v>43</v>
      </c>
      <c r="C6" s="151">
        <f t="shared" ref="C6:K6" si="1">+Costo_const_m2</f>
        <v>36383.728499999997</v>
      </c>
      <c r="D6" s="151">
        <f t="shared" si="1"/>
        <v>36383.728499999997</v>
      </c>
      <c r="E6" s="151">
        <f t="shared" si="1"/>
        <v>36383.728499999997</v>
      </c>
      <c r="F6" s="151">
        <f t="shared" si="1"/>
        <v>36383.728499999997</v>
      </c>
      <c r="G6" s="151">
        <f t="shared" si="1"/>
        <v>36383.728499999997</v>
      </c>
      <c r="H6" s="152">
        <f t="shared" si="1"/>
        <v>36383.728499999997</v>
      </c>
      <c r="I6" s="151">
        <f t="shared" si="1"/>
        <v>36383.728499999997</v>
      </c>
      <c r="J6" s="151">
        <f t="shared" si="1"/>
        <v>36383.728499999997</v>
      </c>
      <c r="K6" s="151">
        <f t="shared" si="1"/>
        <v>36383.728499999997</v>
      </c>
    </row>
    <row r="7" spans="2:11" ht="15.75" thickTop="1" x14ac:dyDescent="0.25">
      <c r="C7" s="101"/>
      <c r="D7" s="101"/>
      <c r="E7" s="101"/>
      <c r="F7" s="101"/>
      <c r="G7" s="101"/>
      <c r="H7" s="153"/>
      <c r="I7" s="101"/>
      <c r="J7" s="101"/>
      <c r="K7" s="101"/>
    </row>
    <row r="8" spans="2:11" ht="15.75" thickBot="1" x14ac:dyDescent="0.3">
      <c r="B8" s="11" t="s">
        <v>42</v>
      </c>
      <c r="C8" s="154">
        <f>+C6*C4</f>
        <v>4042636.5</v>
      </c>
      <c r="D8" s="154">
        <f t="shared" ref="D8:H8" si="2">+D6*D4</f>
        <v>2021318.25</v>
      </c>
      <c r="E8" s="154">
        <f t="shared" si="2"/>
        <v>1617054.5999999999</v>
      </c>
      <c r="F8" s="154">
        <f t="shared" si="2"/>
        <v>1455349.14</v>
      </c>
      <c r="G8" s="154">
        <f t="shared" si="2"/>
        <v>1212790.95</v>
      </c>
      <c r="H8" s="155">
        <f t="shared" si="2"/>
        <v>1010659.125</v>
      </c>
      <c r="I8" s="154">
        <f t="shared" ref="I8:K8" si="3">+I6*I4</f>
        <v>646821.84</v>
      </c>
      <c r="J8" s="154">
        <f t="shared" si="3"/>
        <v>404263.64999999997</v>
      </c>
      <c r="K8" s="154">
        <f t="shared" si="3"/>
        <v>161705.46</v>
      </c>
    </row>
    <row r="9" spans="2:11" ht="15.75" thickTop="1" x14ac:dyDescent="0.25">
      <c r="C9" s="101"/>
      <c r="D9" s="101"/>
      <c r="E9" s="101"/>
      <c r="F9" s="101"/>
      <c r="G9" s="101"/>
      <c r="H9" s="153"/>
      <c r="I9" s="101"/>
      <c r="J9" s="101"/>
      <c r="K9" s="101"/>
    </row>
    <row r="10" spans="2:11" x14ac:dyDescent="0.25">
      <c r="B10" s="22" t="s">
        <v>44</v>
      </c>
      <c r="C10" s="156">
        <f>'Caso Base'!G94</f>
        <v>75000</v>
      </c>
      <c r="D10" s="156">
        <v>70000</v>
      </c>
      <c r="E10" s="156">
        <v>70000</v>
      </c>
      <c r="F10" s="156">
        <v>50000</v>
      </c>
      <c r="G10" s="156">
        <v>70000</v>
      </c>
      <c r="H10" s="157">
        <v>70000</v>
      </c>
      <c r="I10" s="156">
        <v>70000</v>
      </c>
      <c r="J10" s="156">
        <v>70000</v>
      </c>
      <c r="K10" s="156">
        <v>70000</v>
      </c>
    </row>
    <row r="11" spans="2:11" ht="15.75" thickBot="1" x14ac:dyDescent="0.3">
      <c r="B11" s="9" t="s">
        <v>61</v>
      </c>
      <c r="C11" s="151">
        <f t="shared" ref="C11:K11" si="4">+C3*Precio_aves</f>
        <v>3750000</v>
      </c>
      <c r="D11" s="151">
        <f t="shared" si="4"/>
        <v>1875000</v>
      </c>
      <c r="E11" s="151">
        <f t="shared" si="4"/>
        <v>1500000</v>
      </c>
      <c r="F11" s="151">
        <f t="shared" si="4"/>
        <v>1350000</v>
      </c>
      <c r="G11" s="151">
        <f t="shared" si="4"/>
        <v>1125000</v>
      </c>
      <c r="H11" s="152">
        <f t="shared" si="4"/>
        <v>937500</v>
      </c>
      <c r="I11" s="151">
        <f t="shared" si="4"/>
        <v>600000</v>
      </c>
      <c r="J11" s="151">
        <f t="shared" si="4"/>
        <v>375000</v>
      </c>
      <c r="K11" s="151">
        <f t="shared" si="4"/>
        <v>150000</v>
      </c>
    </row>
    <row r="12" spans="2:11" ht="15.75" thickTop="1" x14ac:dyDescent="0.25">
      <c r="C12" s="101"/>
      <c r="D12" s="101"/>
      <c r="E12" s="101"/>
      <c r="F12" s="101"/>
      <c r="G12" s="101"/>
      <c r="H12" s="153"/>
      <c r="I12" s="101"/>
      <c r="J12" s="101"/>
      <c r="K12" s="101"/>
    </row>
    <row r="13" spans="2:11" ht="15.75" thickBot="1" x14ac:dyDescent="0.3">
      <c r="B13" s="164" t="s">
        <v>34</v>
      </c>
      <c r="C13" s="165">
        <f>+C11+C10+C8</f>
        <v>7867636.5</v>
      </c>
      <c r="D13" s="165">
        <f t="shared" ref="D13:H13" si="5">+D11+D10+D8</f>
        <v>3966318.25</v>
      </c>
      <c r="E13" s="165">
        <f t="shared" si="5"/>
        <v>3187054.5999999996</v>
      </c>
      <c r="F13" s="165">
        <f t="shared" si="5"/>
        <v>2855349.1399999997</v>
      </c>
      <c r="G13" s="165">
        <f t="shared" si="5"/>
        <v>2407790.9500000002</v>
      </c>
      <c r="H13" s="166">
        <f t="shared" si="5"/>
        <v>2018159.125</v>
      </c>
      <c r="I13" s="165">
        <f t="shared" ref="I13:K13" si="6">+I11+I10+I8</f>
        <v>1316821.8399999999</v>
      </c>
      <c r="J13" s="165">
        <f t="shared" si="6"/>
        <v>849263.64999999991</v>
      </c>
      <c r="K13" s="165">
        <f t="shared" si="6"/>
        <v>381705.45999999996</v>
      </c>
    </row>
    <row r="14" spans="2:11" ht="15.75" thickTop="1" x14ac:dyDescent="0.25">
      <c r="H14" s="65"/>
    </row>
    <row r="15" spans="2:11" x14ac:dyDescent="0.25">
      <c r="B15" s="3" t="s">
        <v>64</v>
      </c>
      <c r="H15" s="65"/>
    </row>
    <row r="16" spans="2:11" hidden="1" x14ac:dyDescent="0.25">
      <c r="B16" t="s">
        <v>62</v>
      </c>
      <c r="C16" s="14">
        <f t="shared" ref="C16:K16" si="7">+Costo_anual_alim*C3</f>
        <v>10402500</v>
      </c>
      <c r="D16" s="14">
        <f t="shared" si="7"/>
        <v>5201250</v>
      </c>
      <c r="E16" s="14">
        <f t="shared" si="7"/>
        <v>4161000</v>
      </c>
      <c r="F16" s="14">
        <f t="shared" si="7"/>
        <v>3744900</v>
      </c>
      <c r="G16" s="14">
        <f t="shared" si="7"/>
        <v>3120750</v>
      </c>
      <c r="H16" s="66">
        <f t="shared" si="7"/>
        <v>2600625</v>
      </c>
      <c r="I16" s="14">
        <f t="shared" si="7"/>
        <v>1664400</v>
      </c>
      <c r="J16" s="14">
        <f t="shared" si="7"/>
        <v>1040250</v>
      </c>
      <c r="K16" s="14">
        <f t="shared" si="7"/>
        <v>416100</v>
      </c>
    </row>
    <row r="17" spans="2:11" hidden="1" x14ac:dyDescent="0.25">
      <c r="B17" t="s">
        <v>50</v>
      </c>
      <c r="C17" s="14">
        <f t="shared" ref="C17:K17" si="8">+Costo_anual_electricidad</f>
        <v>56000</v>
      </c>
      <c r="D17" s="14">
        <f t="shared" si="8"/>
        <v>56000</v>
      </c>
      <c r="E17" s="14">
        <f t="shared" si="8"/>
        <v>56000</v>
      </c>
      <c r="F17" s="14">
        <f t="shared" si="8"/>
        <v>56000</v>
      </c>
      <c r="G17" s="14">
        <f t="shared" si="8"/>
        <v>56000</v>
      </c>
      <c r="H17" s="66">
        <f t="shared" si="8"/>
        <v>56000</v>
      </c>
      <c r="I17" s="14">
        <f t="shared" si="8"/>
        <v>56000</v>
      </c>
      <c r="J17" s="14">
        <f t="shared" si="8"/>
        <v>56000</v>
      </c>
      <c r="K17" s="14">
        <f t="shared" si="8"/>
        <v>56000</v>
      </c>
    </row>
    <row r="18" spans="2:11" hidden="1" x14ac:dyDescent="0.25">
      <c r="B18" t="s">
        <v>51</v>
      </c>
      <c r="C18" s="14">
        <f t="shared" ref="C18:K18" si="9">+Costo_anual_agua</f>
        <v>84000</v>
      </c>
      <c r="D18" s="14">
        <f t="shared" si="9"/>
        <v>84000</v>
      </c>
      <c r="E18" s="14">
        <f t="shared" si="9"/>
        <v>84000</v>
      </c>
      <c r="F18" s="14">
        <f t="shared" si="9"/>
        <v>84000</v>
      </c>
      <c r="G18" s="14">
        <f t="shared" si="9"/>
        <v>84000</v>
      </c>
      <c r="H18" s="66">
        <f t="shared" si="9"/>
        <v>84000</v>
      </c>
      <c r="I18" s="14">
        <f t="shared" si="9"/>
        <v>84000</v>
      </c>
      <c r="J18" s="14">
        <f t="shared" si="9"/>
        <v>84000</v>
      </c>
      <c r="K18" s="14">
        <f t="shared" si="9"/>
        <v>84000</v>
      </c>
    </row>
    <row r="19" spans="2:11" hidden="1" x14ac:dyDescent="0.25">
      <c r="B19" t="s">
        <v>54</v>
      </c>
      <c r="C19" s="14">
        <f t="shared" ref="C19:K19" si="10">+valor_dosis_gumboro*C3*2</f>
        <v>20000</v>
      </c>
      <c r="D19" s="14">
        <f t="shared" si="10"/>
        <v>10000</v>
      </c>
      <c r="E19" s="14">
        <f t="shared" si="10"/>
        <v>8000</v>
      </c>
      <c r="F19" s="14">
        <f t="shared" si="10"/>
        <v>7200</v>
      </c>
      <c r="G19" s="14">
        <f t="shared" si="10"/>
        <v>6000</v>
      </c>
      <c r="H19" s="66">
        <f t="shared" si="10"/>
        <v>5000</v>
      </c>
      <c r="I19" s="14">
        <f t="shared" si="10"/>
        <v>3200</v>
      </c>
      <c r="J19" s="14">
        <f t="shared" si="10"/>
        <v>2000</v>
      </c>
      <c r="K19" s="14">
        <f t="shared" si="10"/>
        <v>800</v>
      </c>
    </row>
    <row r="20" spans="2:11" hidden="1" x14ac:dyDescent="0.25">
      <c r="B20" t="s">
        <v>77</v>
      </c>
      <c r="C20" s="14">
        <f t="shared" ref="C20:K20" si="11">Valor_dosis_newcastle*C3</f>
        <v>10000</v>
      </c>
      <c r="D20" s="14">
        <f t="shared" si="11"/>
        <v>5000</v>
      </c>
      <c r="E20" s="14">
        <f t="shared" si="11"/>
        <v>4000</v>
      </c>
      <c r="F20" s="14">
        <f t="shared" si="11"/>
        <v>3600</v>
      </c>
      <c r="G20" s="14">
        <f t="shared" si="11"/>
        <v>3000</v>
      </c>
      <c r="H20" s="66">
        <f t="shared" si="11"/>
        <v>2500</v>
      </c>
      <c r="I20" s="14">
        <f t="shared" si="11"/>
        <v>1600</v>
      </c>
      <c r="J20" s="14">
        <f t="shared" si="11"/>
        <v>1000</v>
      </c>
      <c r="K20" s="14">
        <f t="shared" si="11"/>
        <v>400</v>
      </c>
    </row>
    <row r="21" spans="2:11" hidden="1" x14ac:dyDescent="0.25">
      <c r="B21" t="s">
        <v>78</v>
      </c>
      <c r="C21" s="14">
        <f t="shared" ref="C21:K21" si="12">Valor_limp_guano</f>
        <v>100000</v>
      </c>
      <c r="D21" s="14">
        <f t="shared" si="12"/>
        <v>100000</v>
      </c>
      <c r="E21" s="14">
        <f t="shared" si="12"/>
        <v>100000</v>
      </c>
      <c r="F21" s="14">
        <f t="shared" si="12"/>
        <v>100000</v>
      </c>
      <c r="G21" s="14">
        <f t="shared" si="12"/>
        <v>100000</v>
      </c>
      <c r="H21" s="66">
        <f t="shared" si="12"/>
        <v>100000</v>
      </c>
      <c r="I21" s="14">
        <f t="shared" si="12"/>
        <v>100000</v>
      </c>
      <c r="J21" s="14">
        <f t="shared" si="12"/>
        <v>100000</v>
      </c>
      <c r="K21" s="14">
        <f t="shared" si="12"/>
        <v>100000</v>
      </c>
    </row>
    <row r="22" spans="2:11" hidden="1" x14ac:dyDescent="0.25">
      <c r="B22" t="s">
        <v>53</v>
      </c>
      <c r="C22" s="14">
        <f t="shared" ref="C22:K22" si="13">Valor_veterinario</f>
        <v>70000</v>
      </c>
      <c r="D22" s="14">
        <f t="shared" si="13"/>
        <v>70000</v>
      </c>
      <c r="E22" s="14">
        <f t="shared" si="13"/>
        <v>70000</v>
      </c>
      <c r="F22" s="14">
        <f t="shared" si="13"/>
        <v>70000</v>
      </c>
      <c r="G22" s="14">
        <f t="shared" si="13"/>
        <v>70000</v>
      </c>
      <c r="H22" s="66">
        <f t="shared" si="13"/>
        <v>70000</v>
      </c>
      <c r="I22" s="14">
        <f t="shared" si="13"/>
        <v>70000</v>
      </c>
      <c r="J22" s="14">
        <f t="shared" si="13"/>
        <v>70000</v>
      </c>
      <c r="K22" s="14">
        <f t="shared" si="13"/>
        <v>70000</v>
      </c>
    </row>
    <row r="23" spans="2:11" ht="15.75" thickBot="1" x14ac:dyDescent="0.3">
      <c r="B23" s="24" t="s">
        <v>57</v>
      </c>
      <c r="C23" s="15">
        <f>SUM(C16:C22)</f>
        <v>10742500</v>
      </c>
      <c r="D23" s="15">
        <f t="shared" ref="D23:H23" si="14">SUM(D16:D22)</f>
        <v>5526250</v>
      </c>
      <c r="E23" s="15">
        <f t="shared" si="14"/>
        <v>4483000</v>
      </c>
      <c r="F23" s="15">
        <f t="shared" si="14"/>
        <v>4065700</v>
      </c>
      <c r="G23" s="15">
        <f t="shared" si="14"/>
        <v>3439750</v>
      </c>
      <c r="H23" s="67">
        <f t="shared" si="14"/>
        <v>2918125</v>
      </c>
      <c r="I23" s="15">
        <f t="shared" ref="I23" si="15">SUM(I16:I22)</f>
        <v>1979200</v>
      </c>
      <c r="J23" s="15">
        <f t="shared" ref="J23" si="16">SUM(J16:J22)</f>
        <v>1353250</v>
      </c>
      <c r="K23" s="15">
        <f t="shared" ref="K23" si="17">SUM(K16:K22)</f>
        <v>727300</v>
      </c>
    </row>
    <row r="24" spans="2:11" ht="15.75" thickTop="1" x14ac:dyDescent="0.25">
      <c r="B24" s="35" t="s">
        <v>56</v>
      </c>
      <c r="C24" s="14">
        <f>+C23*0.05</f>
        <v>537125</v>
      </c>
      <c r="D24" s="14">
        <f t="shared" ref="D24:H24" si="18">+D23*0.05</f>
        <v>276312.5</v>
      </c>
      <c r="E24" s="14">
        <f t="shared" si="18"/>
        <v>224150</v>
      </c>
      <c r="F24" s="14">
        <f t="shared" si="18"/>
        <v>203285</v>
      </c>
      <c r="G24" s="14">
        <f t="shared" si="18"/>
        <v>171987.5</v>
      </c>
      <c r="H24" s="66">
        <f t="shared" si="18"/>
        <v>145906.25</v>
      </c>
      <c r="I24" s="14">
        <f t="shared" ref="I24" si="19">+I23*0.05</f>
        <v>98960</v>
      </c>
      <c r="J24" s="14">
        <f t="shared" ref="J24" si="20">+J23*0.05</f>
        <v>67662.5</v>
      </c>
      <c r="K24" s="14">
        <f t="shared" ref="K24" si="21">+K23*0.05</f>
        <v>36365</v>
      </c>
    </row>
    <row r="25" spans="2:11" ht="15.75" thickBot="1" x14ac:dyDescent="0.3">
      <c r="B25" s="164" t="s">
        <v>63</v>
      </c>
      <c r="C25" s="168">
        <f>+C24+C23</f>
        <v>11279625</v>
      </c>
      <c r="D25" s="168">
        <f t="shared" ref="D25:H25" si="22">+D24+D23</f>
        <v>5802562.5</v>
      </c>
      <c r="E25" s="168">
        <f t="shared" si="22"/>
        <v>4707150</v>
      </c>
      <c r="F25" s="168">
        <f t="shared" si="22"/>
        <v>4268985</v>
      </c>
      <c r="G25" s="168">
        <f t="shared" si="22"/>
        <v>3611737.5</v>
      </c>
      <c r="H25" s="169">
        <f t="shared" si="22"/>
        <v>3064031.25</v>
      </c>
      <c r="I25" s="168">
        <f t="shared" ref="I25" si="23">+I24+I23</f>
        <v>2078160</v>
      </c>
      <c r="J25" s="167">
        <f t="shared" ref="J25" si="24">+J24+J23</f>
        <v>1420912.5</v>
      </c>
      <c r="K25" s="167">
        <f t="shared" ref="K25" si="25">+K24+K23</f>
        <v>763665</v>
      </c>
    </row>
    <row r="26" spans="2:11" ht="15.75" thickTop="1" x14ac:dyDescent="0.25">
      <c r="C26" s="101"/>
      <c r="D26" s="101"/>
      <c r="E26" s="101"/>
      <c r="F26" s="101"/>
      <c r="G26" s="101"/>
      <c r="H26" s="153"/>
      <c r="I26" s="101"/>
    </row>
    <row r="27" spans="2:11" x14ac:dyDescent="0.25">
      <c r="B27" s="39" t="s">
        <v>93</v>
      </c>
      <c r="C27" s="170">
        <f>+C25+C13</f>
        <v>19147261.5</v>
      </c>
      <c r="D27" s="170">
        <f t="shared" ref="D27:K27" si="26">+D25+D13</f>
        <v>9768880.75</v>
      </c>
      <c r="E27" s="170">
        <f t="shared" si="26"/>
        <v>7894204.5999999996</v>
      </c>
      <c r="F27" s="170">
        <f t="shared" si="26"/>
        <v>7124334.1399999997</v>
      </c>
      <c r="G27" s="170">
        <f t="shared" si="26"/>
        <v>6019528.4500000002</v>
      </c>
      <c r="H27" s="171">
        <f t="shared" si="26"/>
        <v>5082190.375</v>
      </c>
      <c r="I27" s="170">
        <f t="shared" si="26"/>
        <v>3394981.84</v>
      </c>
      <c r="J27" s="77">
        <f t="shared" si="26"/>
        <v>2270176.15</v>
      </c>
      <c r="K27" s="77">
        <f t="shared" si="26"/>
        <v>1145370.46</v>
      </c>
    </row>
    <row r="28" spans="2:11" x14ac:dyDescent="0.25">
      <c r="C28" s="101"/>
      <c r="D28" s="101"/>
      <c r="E28" s="101"/>
      <c r="F28" s="101"/>
      <c r="G28" s="172"/>
      <c r="H28" s="153"/>
      <c r="I28" s="101"/>
    </row>
    <row r="29" spans="2:11" x14ac:dyDescent="0.25">
      <c r="B29" s="3" t="s">
        <v>65</v>
      </c>
      <c r="C29" s="101"/>
      <c r="D29" s="101"/>
      <c r="E29" s="101"/>
      <c r="F29" s="101"/>
      <c r="G29" s="101"/>
      <c r="H29" s="153"/>
      <c r="I29" s="101"/>
    </row>
    <row r="30" spans="2:11" x14ac:dyDescent="0.25">
      <c r="B30" t="s">
        <v>67</v>
      </c>
      <c r="C30" s="172">
        <f>+C3*C5*365</f>
        <v>164250</v>
      </c>
      <c r="D30" s="172">
        <f t="shared" ref="D30:H30" si="27">+D3*D5*365</f>
        <v>82125</v>
      </c>
      <c r="E30" s="172">
        <f t="shared" si="27"/>
        <v>65700</v>
      </c>
      <c r="F30" s="172">
        <f t="shared" si="27"/>
        <v>59130</v>
      </c>
      <c r="G30" s="172">
        <f t="shared" si="27"/>
        <v>49275</v>
      </c>
      <c r="H30" s="173">
        <f t="shared" si="27"/>
        <v>41062.5</v>
      </c>
      <c r="I30" s="172">
        <f t="shared" ref="I30:K30" si="28">+I3*I5*365</f>
        <v>26280</v>
      </c>
      <c r="J30" s="5">
        <f t="shared" si="28"/>
        <v>16425</v>
      </c>
      <c r="K30" s="5">
        <f t="shared" si="28"/>
        <v>6570</v>
      </c>
    </row>
    <row r="31" spans="2:11" x14ac:dyDescent="0.25">
      <c r="B31" t="s">
        <v>68</v>
      </c>
      <c r="C31" s="106">
        <f t="shared" ref="C31:K31" si="29">precio_prom_veta_huevos</f>
        <v>110</v>
      </c>
      <c r="D31" s="106">
        <f t="shared" si="29"/>
        <v>110</v>
      </c>
      <c r="E31" s="106">
        <f t="shared" si="29"/>
        <v>110</v>
      </c>
      <c r="F31" s="106">
        <f t="shared" si="29"/>
        <v>110</v>
      </c>
      <c r="G31" s="106">
        <f t="shared" si="29"/>
        <v>110</v>
      </c>
      <c r="H31" s="174">
        <f t="shared" si="29"/>
        <v>110</v>
      </c>
      <c r="I31" s="106">
        <f t="shared" si="29"/>
        <v>110</v>
      </c>
      <c r="J31" s="14">
        <f t="shared" si="29"/>
        <v>110</v>
      </c>
      <c r="K31" s="14">
        <f t="shared" si="29"/>
        <v>110</v>
      </c>
    </row>
    <row r="32" spans="2:11" ht="8.25" customHeight="1" x14ac:dyDescent="0.25">
      <c r="C32" s="101"/>
      <c r="D32" s="101"/>
      <c r="E32" s="101"/>
      <c r="F32" s="101"/>
      <c r="G32" s="101"/>
      <c r="H32" s="153"/>
      <c r="I32" s="101"/>
    </row>
    <row r="33" spans="2:11" ht="15.75" thickBot="1" x14ac:dyDescent="0.3">
      <c r="B33" s="164" t="s">
        <v>69</v>
      </c>
      <c r="C33" s="168">
        <f>+C31*C30</f>
        <v>18067500</v>
      </c>
      <c r="D33" s="168">
        <f t="shared" ref="D33:H33" si="30">+D31*D30</f>
        <v>9033750</v>
      </c>
      <c r="E33" s="168">
        <f t="shared" si="30"/>
        <v>7227000</v>
      </c>
      <c r="F33" s="168">
        <f t="shared" si="30"/>
        <v>6504300</v>
      </c>
      <c r="G33" s="168">
        <f t="shared" si="30"/>
        <v>5420250</v>
      </c>
      <c r="H33" s="169">
        <f t="shared" si="30"/>
        <v>4516875</v>
      </c>
      <c r="I33" s="168">
        <f t="shared" ref="I33:K33" si="31">+I31*I30</f>
        <v>2890800</v>
      </c>
      <c r="J33" s="167">
        <f t="shared" si="31"/>
        <v>1806750</v>
      </c>
      <c r="K33" s="167">
        <f t="shared" si="31"/>
        <v>722700</v>
      </c>
    </row>
    <row r="34" spans="2:11" ht="15.75" thickTop="1" x14ac:dyDescent="0.25">
      <c r="C34" s="101"/>
      <c r="D34" s="101"/>
      <c r="E34" s="101"/>
      <c r="F34" s="101"/>
      <c r="G34" s="101"/>
      <c r="H34" s="153"/>
      <c r="I34" s="101"/>
    </row>
    <row r="35" spans="2:11" ht="15.75" thickBot="1" x14ac:dyDescent="0.3">
      <c r="B35" s="164" t="s">
        <v>158</v>
      </c>
      <c r="C35" s="165">
        <f>+C33-C25</f>
        <v>6787875</v>
      </c>
      <c r="D35" s="165">
        <f t="shared" ref="D35:H35" si="32">+D33-D25</f>
        <v>3231187.5</v>
      </c>
      <c r="E35" s="165">
        <f t="shared" si="32"/>
        <v>2519850</v>
      </c>
      <c r="F35" s="165">
        <f t="shared" si="32"/>
        <v>2235315</v>
      </c>
      <c r="G35" s="165">
        <f t="shared" si="32"/>
        <v>1808512.5</v>
      </c>
      <c r="H35" s="166">
        <f t="shared" si="32"/>
        <v>1452843.75</v>
      </c>
      <c r="I35" s="165">
        <f t="shared" ref="I35:K35" si="33">+I33-I25</f>
        <v>812640</v>
      </c>
      <c r="J35" s="176">
        <f t="shared" si="33"/>
        <v>385837.5</v>
      </c>
      <c r="K35" s="176">
        <f t="shared" si="33"/>
        <v>-40965</v>
      </c>
    </row>
    <row r="36" spans="2:11" ht="15.75" thickTop="1" x14ac:dyDescent="0.25">
      <c r="B36" t="s">
        <v>159</v>
      </c>
      <c r="C36" s="106">
        <f>+C35/12</f>
        <v>565656.25</v>
      </c>
      <c r="D36" s="106">
        <f t="shared" ref="D36:K36" si="34">+D35/12</f>
        <v>269265.625</v>
      </c>
      <c r="E36" s="106">
        <f t="shared" si="34"/>
        <v>209987.5</v>
      </c>
      <c r="F36" s="106">
        <f t="shared" si="34"/>
        <v>186276.25</v>
      </c>
      <c r="G36" s="106">
        <f t="shared" si="34"/>
        <v>150709.375</v>
      </c>
      <c r="H36" s="174">
        <f t="shared" si="34"/>
        <v>121070.3125</v>
      </c>
      <c r="I36" s="106">
        <f t="shared" si="34"/>
        <v>67720</v>
      </c>
      <c r="J36" s="14">
        <f t="shared" si="34"/>
        <v>32153.125</v>
      </c>
      <c r="K36" s="14">
        <f t="shared" si="34"/>
        <v>-3413.75</v>
      </c>
    </row>
    <row r="37" spans="2:11" ht="15.75" thickBot="1" x14ac:dyDescent="0.3">
      <c r="B37" s="41" t="s">
        <v>88</v>
      </c>
      <c r="C37" s="105">
        <f>+C35/C30</f>
        <v>41.326484018264843</v>
      </c>
      <c r="D37" s="105">
        <f t="shared" ref="D37:K37" si="35">+D35/D30</f>
        <v>39.344748858447488</v>
      </c>
      <c r="E37" s="105">
        <f t="shared" si="35"/>
        <v>38.353881278538815</v>
      </c>
      <c r="F37" s="105">
        <f t="shared" si="35"/>
        <v>37.803399289700657</v>
      </c>
      <c r="G37" s="105">
        <f t="shared" si="35"/>
        <v>36.702435312024356</v>
      </c>
      <c r="H37" s="175">
        <f t="shared" si="35"/>
        <v>35.381278538812786</v>
      </c>
      <c r="I37" s="105">
        <f t="shared" si="35"/>
        <v>30.922374429223744</v>
      </c>
      <c r="J37" s="23">
        <f t="shared" si="35"/>
        <v>23.490867579908677</v>
      </c>
      <c r="K37" s="23">
        <f t="shared" si="35"/>
        <v>-6.2351598173515983</v>
      </c>
    </row>
    <row r="38" spans="2:11" ht="15.75" thickTop="1" x14ac:dyDescent="0.25"/>
    <row r="39" spans="2:11" ht="21" x14ac:dyDescent="0.35">
      <c r="B39" s="179" t="s">
        <v>217</v>
      </c>
      <c r="C39" s="179"/>
      <c r="D39" s="179"/>
      <c r="E39" s="179"/>
      <c r="F39" s="179"/>
      <c r="G39" s="179"/>
      <c r="H39" s="179"/>
      <c r="I39" s="179"/>
      <c r="J39" s="179"/>
      <c r="K39" s="179"/>
    </row>
    <row r="40" spans="2:11" ht="15.75" thickBot="1" x14ac:dyDescent="0.3">
      <c r="B40" t="s">
        <v>80</v>
      </c>
    </row>
    <row r="41" spans="2:11" ht="15.75" thickTop="1" x14ac:dyDescent="0.25">
      <c r="B41" s="158" t="s">
        <v>1</v>
      </c>
      <c r="C41" s="159">
        <f t="shared" ref="C41:K41" si="36">C3*Factor_sobrevivencia_segundo_año</f>
        <v>475</v>
      </c>
      <c r="D41" s="182">
        <f t="shared" si="36"/>
        <v>237.5</v>
      </c>
      <c r="E41" s="159">
        <f t="shared" si="36"/>
        <v>190</v>
      </c>
      <c r="F41" s="159">
        <f t="shared" si="36"/>
        <v>171</v>
      </c>
      <c r="G41" s="182">
        <f t="shared" si="36"/>
        <v>142.5</v>
      </c>
      <c r="H41" s="183">
        <f t="shared" si="36"/>
        <v>118.75</v>
      </c>
      <c r="I41" s="159">
        <f t="shared" si="36"/>
        <v>76</v>
      </c>
      <c r="J41" s="182">
        <f t="shared" si="36"/>
        <v>47.5</v>
      </c>
      <c r="K41" s="158">
        <f t="shared" si="36"/>
        <v>19</v>
      </c>
    </row>
    <row r="42" spans="2:11" x14ac:dyDescent="0.25">
      <c r="B42" s="161" t="s">
        <v>6</v>
      </c>
      <c r="C42" s="162">
        <f>+C4</f>
        <v>111.11111111111111</v>
      </c>
      <c r="D42" s="162">
        <f t="shared" ref="D42:K42" si="37">+D4</f>
        <v>55.555555555555557</v>
      </c>
      <c r="E42" s="162">
        <f t="shared" si="37"/>
        <v>44.444444444444443</v>
      </c>
      <c r="F42" s="162">
        <f t="shared" si="37"/>
        <v>40</v>
      </c>
      <c r="G42" s="162">
        <f t="shared" si="37"/>
        <v>33.333333333333336</v>
      </c>
      <c r="H42" s="163">
        <f t="shared" si="37"/>
        <v>27.777777777777779</v>
      </c>
      <c r="I42" s="162">
        <f t="shared" si="37"/>
        <v>17.777777777777779</v>
      </c>
      <c r="J42" s="162">
        <f t="shared" si="37"/>
        <v>11.111111111111111</v>
      </c>
      <c r="K42" s="184">
        <f t="shared" si="37"/>
        <v>4.4444444444444446</v>
      </c>
    </row>
    <row r="43" spans="2:11" ht="15.75" thickBot="1" x14ac:dyDescent="0.3">
      <c r="B43" s="9" t="s">
        <v>66</v>
      </c>
      <c r="C43" s="177">
        <f t="shared" ref="C43:K43" si="38">factor_postura_segundo_año</f>
        <v>0.8</v>
      </c>
      <c r="D43" s="177">
        <f t="shared" si="38"/>
        <v>0.8</v>
      </c>
      <c r="E43" s="177">
        <f t="shared" si="38"/>
        <v>0.8</v>
      </c>
      <c r="F43" s="177">
        <f t="shared" si="38"/>
        <v>0.8</v>
      </c>
      <c r="G43" s="177">
        <f t="shared" si="38"/>
        <v>0.8</v>
      </c>
      <c r="H43" s="178">
        <f t="shared" si="38"/>
        <v>0.8</v>
      </c>
      <c r="I43" s="177">
        <f t="shared" si="38"/>
        <v>0.8</v>
      </c>
      <c r="J43" s="177">
        <f t="shared" si="38"/>
        <v>0.8</v>
      </c>
      <c r="K43" s="38">
        <f t="shared" si="38"/>
        <v>0.8</v>
      </c>
    </row>
    <row r="44" spans="2:11" ht="15.75" thickTop="1" x14ac:dyDescent="0.25">
      <c r="H44" s="65"/>
    </row>
    <row r="45" spans="2:11" x14ac:dyDescent="0.25">
      <c r="B45" s="39" t="s">
        <v>60</v>
      </c>
      <c r="H45" s="65"/>
    </row>
    <row r="46" spans="2:11" x14ac:dyDescent="0.25">
      <c r="B46" s="3" t="s">
        <v>64</v>
      </c>
      <c r="H46" s="65"/>
    </row>
    <row r="47" spans="2:11" x14ac:dyDescent="0.25">
      <c r="B47" t="s">
        <v>62</v>
      </c>
      <c r="C47" s="14">
        <f t="shared" ref="C47:K47" si="39">+Costo_anual_alim*C41</f>
        <v>9882375</v>
      </c>
      <c r="D47" s="14">
        <f t="shared" si="39"/>
        <v>4941187.5</v>
      </c>
      <c r="E47" s="14">
        <f t="shared" si="39"/>
        <v>3952950</v>
      </c>
      <c r="F47" s="14">
        <f t="shared" si="39"/>
        <v>3557655</v>
      </c>
      <c r="G47" s="14">
        <f t="shared" si="39"/>
        <v>2964712.5</v>
      </c>
      <c r="H47" s="66">
        <f t="shared" si="39"/>
        <v>2470593.75</v>
      </c>
      <c r="I47" s="14">
        <f t="shared" si="39"/>
        <v>1581180</v>
      </c>
      <c r="J47" s="14">
        <f t="shared" si="39"/>
        <v>988237.5</v>
      </c>
      <c r="K47" s="14">
        <f t="shared" si="39"/>
        <v>395295</v>
      </c>
    </row>
    <row r="48" spans="2:11" x14ac:dyDescent="0.25">
      <c r="B48" t="s">
        <v>50</v>
      </c>
      <c r="C48" s="14">
        <f t="shared" ref="C48:K48" si="40">+Costo_anual_electricidad</f>
        <v>56000</v>
      </c>
      <c r="D48" s="14">
        <f t="shared" si="40"/>
        <v>56000</v>
      </c>
      <c r="E48" s="14">
        <f t="shared" si="40"/>
        <v>56000</v>
      </c>
      <c r="F48" s="14">
        <f t="shared" si="40"/>
        <v>56000</v>
      </c>
      <c r="G48" s="14">
        <f t="shared" si="40"/>
        <v>56000</v>
      </c>
      <c r="H48" s="66">
        <f t="shared" si="40"/>
        <v>56000</v>
      </c>
      <c r="I48" s="14">
        <f t="shared" si="40"/>
        <v>56000</v>
      </c>
      <c r="J48" s="14">
        <f t="shared" si="40"/>
        <v>56000</v>
      </c>
      <c r="K48" s="14">
        <f t="shared" si="40"/>
        <v>56000</v>
      </c>
    </row>
    <row r="49" spans="2:14" x14ac:dyDescent="0.25">
      <c r="B49" t="s">
        <v>51</v>
      </c>
      <c r="C49" s="14">
        <f t="shared" ref="C49:K49" si="41">+Costo_anual_agua</f>
        <v>84000</v>
      </c>
      <c r="D49" s="14">
        <f t="shared" si="41"/>
        <v>84000</v>
      </c>
      <c r="E49" s="14">
        <f t="shared" si="41"/>
        <v>84000</v>
      </c>
      <c r="F49" s="14">
        <f t="shared" si="41"/>
        <v>84000</v>
      </c>
      <c r="G49" s="14">
        <f t="shared" si="41"/>
        <v>84000</v>
      </c>
      <c r="H49" s="66">
        <f t="shared" si="41"/>
        <v>84000</v>
      </c>
      <c r="I49" s="14">
        <f t="shared" si="41"/>
        <v>84000</v>
      </c>
      <c r="J49" s="14">
        <f t="shared" si="41"/>
        <v>84000</v>
      </c>
      <c r="K49" s="14">
        <f t="shared" si="41"/>
        <v>84000</v>
      </c>
    </row>
    <row r="50" spans="2:14" x14ac:dyDescent="0.25">
      <c r="B50" t="s">
        <v>54</v>
      </c>
      <c r="C50" s="14">
        <f t="shared" ref="C50:K50" si="42">+valor_dosis_gumboro*C41*2</f>
        <v>19000</v>
      </c>
      <c r="D50" s="14">
        <f t="shared" si="42"/>
        <v>9500</v>
      </c>
      <c r="E50" s="14">
        <f t="shared" si="42"/>
        <v>7600</v>
      </c>
      <c r="F50" s="14">
        <f t="shared" si="42"/>
        <v>6840</v>
      </c>
      <c r="G50" s="14">
        <f t="shared" si="42"/>
        <v>5700</v>
      </c>
      <c r="H50" s="66">
        <f t="shared" si="42"/>
        <v>4750</v>
      </c>
      <c r="I50" s="14">
        <f t="shared" si="42"/>
        <v>3040</v>
      </c>
      <c r="J50" s="14">
        <f t="shared" si="42"/>
        <v>1900</v>
      </c>
      <c r="K50" s="14">
        <f t="shared" si="42"/>
        <v>760</v>
      </c>
    </row>
    <row r="51" spans="2:14" x14ac:dyDescent="0.25">
      <c r="B51" t="s">
        <v>77</v>
      </c>
      <c r="C51" s="14">
        <f t="shared" ref="C51:K51" si="43">Valor_dosis_newcastle*C41</f>
        <v>9500</v>
      </c>
      <c r="D51" s="14">
        <f t="shared" si="43"/>
        <v>4750</v>
      </c>
      <c r="E51" s="14">
        <f t="shared" si="43"/>
        <v>3800</v>
      </c>
      <c r="F51" s="14">
        <f t="shared" si="43"/>
        <v>3420</v>
      </c>
      <c r="G51" s="14">
        <f t="shared" si="43"/>
        <v>2850</v>
      </c>
      <c r="H51" s="66">
        <f t="shared" si="43"/>
        <v>2375</v>
      </c>
      <c r="I51" s="14">
        <f t="shared" si="43"/>
        <v>1520</v>
      </c>
      <c r="J51" s="14">
        <f t="shared" si="43"/>
        <v>950</v>
      </c>
      <c r="K51" s="14">
        <f t="shared" si="43"/>
        <v>380</v>
      </c>
    </row>
    <row r="52" spans="2:14" x14ac:dyDescent="0.25">
      <c r="B52" t="s">
        <v>78</v>
      </c>
      <c r="C52" s="14">
        <f t="shared" ref="C52:K52" si="44">Valor_limp_guano</f>
        <v>100000</v>
      </c>
      <c r="D52" s="14">
        <f t="shared" si="44"/>
        <v>100000</v>
      </c>
      <c r="E52" s="14">
        <f t="shared" si="44"/>
        <v>100000</v>
      </c>
      <c r="F52" s="14">
        <f t="shared" si="44"/>
        <v>100000</v>
      </c>
      <c r="G52" s="14">
        <f t="shared" si="44"/>
        <v>100000</v>
      </c>
      <c r="H52" s="66">
        <f t="shared" si="44"/>
        <v>100000</v>
      </c>
      <c r="I52" s="14">
        <f t="shared" si="44"/>
        <v>100000</v>
      </c>
      <c r="J52" s="14">
        <f t="shared" si="44"/>
        <v>100000</v>
      </c>
      <c r="K52" s="14">
        <f t="shared" si="44"/>
        <v>100000</v>
      </c>
    </row>
    <row r="53" spans="2:14" x14ac:dyDescent="0.25">
      <c r="B53" t="s">
        <v>53</v>
      </c>
      <c r="C53" s="14">
        <f t="shared" ref="C53:K53" si="45">Valor_veterinario</f>
        <v>70000</v>
      </c>
      <c r="D53" s="14">
        <f t="shared" si="45"/>
        <v>70000</v>
      </c>
      <c r="E53" s="14">
        <f t="shared" si="45"/>
        <v>70000</v>
      </c>
      <c r="F53" s="14">
        <f t="shared" si="45"/>
        <v>70000</v>
      </c>
      <c r="G53" s="14">
        <f t="shared" si="45"/>
        <v>70000</v>
      </c>
      <c r="H53" s="66">
        <f t="shared" si="45"/>
        <v>70000</v>
      </c>
      <c r="I53" s="14">
        <f t="shared" si="45"/>
        <v>70000</v>
      </c>
      <c r="J53" s="14">
        <f t="shared" si="45"/>
        <v>70000</v>
      </c>
      <c r="K53" s="14">
        <f t="shared" si="45"/>
        <v>70000</v>
      </c>
    </row>
    <row r="54" spans="2:14" x14ac:dyDescent="0.25">
      <c r="B54" t="s">
        <v>89</v>
      </c>
      <c r="C54" s="14">
        <f t="shared" ref="C54:K54" si="46">+C3*Costo_ave_ponedora</f>
        <v>3750000</v>
      </c>
      <c r="D54" s="14">
        <f t="shared" si="46"/>
        <v>1875000</v>
      </c>
      <c r="E54" s="14">
        <f t="shared" si="46"/>
        <v>1500000</v>
      </c>
      <c r="F54" s="14">
        <f t="shared" si="46"/>
        <v>1350000</v>
      </c>
      <c r="G54" s="14">
        <f t="shared" si="46"/>
        <v>1125000</v>
      </c>
      <c r="H54" s="66">
        <f t="shared" si="46"/>
        <v>937500</v>
      </c>
      <c r="I54" s="14">
        <f t="shared" si="46"/>
        <v>600000</v>
      </c>
      <c r="J54" s="14">
        <f t="shared" si="46"/>
        <v>375000</v>
      </c>
      <c r="K54" s="14">
        <f t="shared" si="46"/>
        <v>150000</v>
      </c>
      <c r="N54" s="4" t="s">
        <v>160</v>
      </c>
    </row>
    <row r="55" spans="2:14" ht="15.75" thickBot="1" x14ac:dyDescent="0.3">
      <c r="B55" s="24" t="s">
        <v>57</v>
      </c>
      <c r="C55" s="15">
        <f>SUM(C47:C54)</f>
        <v>13970875</v>
      </c>
      <c r="D55" s="15">
        <f t="shared" ref="D55:K55" si="47">SUM(D47:D54)</f>
        <v>7140437.5</v>
      </c>
      <c r="E55" s="15">
        <f t="shared" si="47"/>
        <v>5774350</v>
      </c>
      <c r="F55" s="15">
        <f t="shared" si="47"/>
        <v>5227915</v>
      </c>
      <c r="G55" s="15">
        <f t="shared" si="47"/>
        <v>4408262.5</v>
      </c>
      <c r="H55" s="15">
        <f t="shared" si="47"/>
        <v>3725218.75</v>
      </c>
      <c r="I55" s="15">
        <f t="shared" si="47"/>
        <v>2495740</v>
      </c>
      <c r="J55" s="15">
        <f t="shared" si="47"/>
        <v>1676087.5</v>
      </c>
      <c r="K55" s="15">
        <f t="shared" si="47"/>
        <v>856435</v>
      </c>
    </row>
    <row r="56" spans="2:14" ht="15.75" thickTop="1" x14ac:dyDescent="0.25">
      <c r="B56" s="35" t="s">
        <v>56</v>
      </c>
      <c r="C56" s="14">
        <f>+C55*0.05</f>
        <v>698543.75</v>
      </c>
      <c r="D56" s="14">
        <f t="shared" ref="D56:K56" si="48">+D55*0.05</f>
        <v>357021.875</v>
      </c>
      <c r="E56" s="14">
        <f t="shared" si="48"/>
        <v>288717.5</v>
      </c>
      <c r="F56" s="14">
        <f t="shared" si="48"/>
        <v>261395.75</v>
      </c>
      <c r="G56" s="14">
        <f t="shared" si="48"/>
        <v>220413.125</v>
      </c>
      <c r="H56" s="66">
        <f t="shared" si="48"/>
        <v>186260.9375</v>
      </c>
      <c r="I56" s="14">
        <f t="shared" si="48"/>
        <v>124787</v>
      </c>
      <c r="J56" s="14">
        <f t="shared" si="48"/>
        <v>83804.375</v>
      </c>
      <c r="K56" s="14">
        <f t="shared" si="48"/>
        <v>42821.75</v>
      </c>
      <c r="M56" s="4">
        <v>2000</v>
      </c>
    </row>
    <row r="57" spans="2:14" ht="15.75" thickBot="1" x14ac:dyDescent="0.3">
      <c r="B57" s="164" t="s">
        <v>63</v>
      </c>
      <c r="C57" s="168">
        <f>+C56+C55</f>
        <v>14669418.75</v>
      </c>
      <c r="D57" s="168">
        <f t="shared" ref="D57:K57" si="49">+D56+D55</f>
        <v>7497459.375</v>
      </c>
      <c r="E57" s="168">
        <f>+E56+E55</f>
        <v>6063067.5</v>
      </c>
      <c r="F57" s="168">
        <f t="shared" si="49"/>
        <v>5489310.75</v>
      </c>
      <c r="G57" s="168">
        <f t="shared" si="49"/>
        <v>4628675.625</v>
      </c>
      <c r="H57" s="169">
        <f t="shared" si="49"/>
        <v>3911479.6875</v>
      </c>
      <c r="I57" s="168">
        <f t="shared" si="49"/>
        <v>2620527</v>
      </c>
      <c r="J57" s="167">
        <f t="shared" si="49"/>
        <v>1759891.875</v>
      </c>
      <c r="K57" s="167">
        <f t="shared" si="49"/>
        <v>899256.75</v>
      </c>
    </row>
    <row r="58" spans="2:14" ht="15.75" thickTop="1" x14ac:dyDescent="0.25">
      <c r="C58" s="4" t="s">
        <v>160</v>
      </c>
      <c r="D58" s="4" t="s">
        <v>160</v>
      </c>
      <c r="E58" s="4" t="s">
        <v>160</v>
      </c>
      <c r="F58" s="4">
        <v>3897006.7499999995</v>
      </c>
      <c r="G58" s="4" t="s">
        <v>160</v>
      </c>
      <c r="H58" s="4" t="s">
        <v>160</v>
      </c>
      <c r="I58" s="4" t="s">
        <v>160</v>
      </c>
      <c r="J58" s="4" t="s">
        <v>160</v>
      </c>
      <c r="K58" s="4" t="s">
        <v>160</v>
      </c>
    </row>
    <row r="59" spans="2:14" x14ac:dyDescent="0.25">
      <c r="B59" s="3" t="s">
        <v>65</v>
      </c>
      <c r="H59" s="65"/>
    </row>
    <row r="60" spans="2:14" x14ac:dyDescent="0.25">
      <c r="B60" t="s">
        <v>67</v>
      </c>
      <c r="C60" s="5">
        <f t="shared" ref="C60:K60" si="50">+C41*C43*365</f>
        <v>138700</v>
      </c>
      <c r="D60" s="5">
        <f t="shared" si="50"/>
        <v>69350</v>
      </c>
      <c r="E60" s="5">
        <f t="shared" si="50"/>
        <v>55480</v>
      </c>
      <c r="F60" s="5">
        <f t="shared" si="50"/>
        <v>49932.000000000007</v>
      </c>
      <c r="G60" s="5">
        <f t="shared" si="50"/>
        <v>41610</v>
      </c>
      <c r="H60" s="68">
        <f t="shared" si="50"/>
        <v>34675</v>
      </c>
      <c r="I60" s="5">
        <f t="shared" si="50"/>
        <v>22192</v>
      </c>
      <c r="J60" s="5">
        <f t="shared" si="50"/>
        <v>13870</v>
      </c>
      <c r="K60" s="5">
        <f t="shared" si="50"/>
        <v>5548</v>
      </c>
    </row>
    <row r="61" spans="2:14" x14ac:dyDescent="0.25">
      <c r="B61" t="s">
        <v>68</v>
      </c>
      <c r="C61" s="14">
        <f t="shared" ref="C61:K61" si="51">precio_prom_veta_huevos</f>
        <v>110</v>
      </c>
      <c r="D61" s="14">
        <f t="shared" si="51"/>
        <v>110</v>
      </c>
      <c r="E61" s="14">
        <f t="shared" si="51"/>
        <v>110</v>
      </c>
      <c r="F61" s="14">
        <f t="shared" si="51"/>
        <v>110</v>
      </c>
      <c r="G61" s="14">
        <f t="shared" si="51"/>
        <v>110</v>
      </c>
      <c r="H61" s="66">
        <f t="shared" si="51"/>
        <v>110</v>
      </c>
      <c r="I61" s="14">
        <f t="shared" si="51"/>
        <v>110</v>
      </c>
      <c r="J61" s="14">
        <f t="shared" si="51"/>
        <v>110</v>
      </c>
      <c r="K61" s="14">
        <f t="shared" si="51"/>
        <v>110</v>
      </c>
    </row>
    <row r="62" spans="2:14" x14ac:dyDescent="0.25">
      <c r="H62" s="65"/>
    </row>
    <row r="63" spans="2:14" x14ac:dyDescent="0.25">
      <c r="B63" s="40" t="s">
        <v>90</v>
      </c>
      <c r="C63" s="42">
        <f>+C61*C60</f>
        <v>15257000</v>
      </c>
      <c r="D63" s="42">
        <f t="shared" ref="D63:K63" si="52">+D61*D60</f>
        <v>7628500</v>
      </c>
      <c r="E63" s="42">
        <f t="shared" si="52"/>
        <v>6102800</v>
      </c>
      <c r="F63" s="42">
        <f t="shared" si="52"/>
        <v>5492520.0000000009</v>
      </c>
      <c r="G63" s="42">
        <f t="shared" si="52"/>
        <v>4577100</v>
      </c>
      <c r="H63" s="69">
        <f t="shared" si="52"/>
        <v>3814250</v>
      </c>
      <c r="I63" s="42">
        <f t="shared" si="52"/>
        <v>2441120</v>
      </c>
      <c r="J63" s="42">
        <f t="shared" si="52"/>
        <v>1525700</v>
      </c>
      <c r="K63" s="42">
        <f t="shared" si="52"/>
        <v>610280</v>
      </c>
    </row>
    <row r="64" spans="2:14" x14ac:dyDescent="0.25">
      <c r="B64" s="40" t="s">
        <v>91</v>
      </c>
      <c r="C64" s="180">
        <f t="shared" ref="C64:K64" si="53">+C41*Valor_vta_ave_vieja</f>
        <v>2850000</v>
      </c>
      <c r="D64" s="180">
        <f t="shared" si="53"/>
        <v>1425000</v>
      </c>
      <c r="E64" s="180">
        <f t="shared" si="53"/>
        <v>1140000</v>
      </c>
      <c r="F64" s="180">
        <f t="shared" si="53"/>
        <v>1026000</v>
      </c>
      <c r="G64" s="180">
        <f t="shared" si="53"/>
        <v>855000</v>
      </c>
      <c r="H64" s="181">
        <f t="shared" si="53"/>
        <v>712500</v>
      </c>
      <c r="I64" s="180">
        <f t="shared" si="53"/>
        <v>456000</v>
      </c>
      <c r="J64" s="42">
        <f t="shared" si="53"/>
        <v>285000</v>
      </c>
      <c r="K64" s="42">
        <f t="shared" si="53"/>
        <v>114000</v>
      </c>
    </row>
    <row r="65" spans="2:11" ht="15.75" thickBot="1" x14ac:dyDescent="0.3">
      <c r="B65" s="164" t="s">
        <v>92</v>
      </c>
      <c r="C65" s="168">
        <f>+C64+C63</f>
        <v>18107000</v>
      </c>
      <c r="D65" s="168">
        <f t="shared" ref="D65:K65" si="54">+D64+D63</f>
        <v>9053500</v>
      </c>
      <c r="E65" s="168">
        <f t="shared" si="54"/>
        <v>7242800</v>
      </c>
      <c r="F65" s="168">
        <f t="shared" si="54"/>
        <v>6518520.0000000009</v>
      </c>
      <c r="G65" s="168">
        <f t="shared" si="54"/>
        <v>5432100</v>
      </c>
      <c r="H65" s="169">
        <f t="shared" si="54"/>
        <v>4526750</v>
      </c>
      <c r="I65" s="168">
        <f t="shared" si="54"/>
        <v>2897120</v>
      </c>
      <c r="J65" s="167">
        <f t="shared" si="54"/>
        <v>1810700</v>
      </c>
      <c r="K65" s="167">
        <f t="shared" si="54"/>
        <v>724280</v>
      </c>
    </row>
    <row r="66" spans="2:11" ht="15.75" thickTop="1" x14ac:dyDescent="0.25">
      <c r="C66" s="101"/>
      <c r="D66" s="101"/>
      <c r="E66" s="101"/>
      <c r="F66" s="101"/>
      <c r="G66" s="101"/>
      <c r="H66" s="153"/>
      <c r="I66" s="101"/>
    </row>
    <row r="67" spans="2:11" ht="15.75" thickBot="1" x14ac:dyDescent="0.3">
      <c r="B67" s="164" t="s">
        <v>158</v>
      </c>
      <c r="C67" s="165">
        <f>+C65-C57</f>
        <v>3437581.25</v>
      </c>
      <c r="D67" s="165">
        <f t="shared" ref="D67:K67" si="55">+D65-D57</f>
        <v>1556040.625</v>
      </c>
      <c r="E67" s="165">
        <f t="shared" si="55"/>
        <v>1179732.5</v>
      </c>
      <c r="F67" s="165">
        <f t="shared" si="55"/>
        <v>1029209.2500000009</v>
      </c>
      <c r="G67" s="165">
        <f t="shared" si="55"/>
        <v>803424.375</v>
      </c>
      <c r="H67" s="166">
        <f t="shared" si="55"/>
        <v>615270.3125</v>
      </c>
      <c r="I67" s="165">
        <f t="shared" si="55"/>
        <v>276593</v>
      </c>
      <c r="J67" s="176">
        <f t="shared" si="55"/>
        <v>50808.125</v>
      </c>
      <c r="K67" s="176">
        <f t="shared" si="55"/>
        <v>-174976.75</v>
      </c>
    </row>
    <row r="68" spans="2:11" ht="15.75" thickTop="1" x14ac:dyDescent="0.25">
      <c r="B68" t="s">
        <v>159</v>
      </c>
      <c r="C68" s="14">
        <f>+C67/12</f>
        <v>286465.10416666669</v>
      </c>
      <c r="D68" s="14">
        <f t="shared" ref="D68:K68" si="56">+D67/12</f>
        <v>129670.05208333333</v>
      </c>
      <c r="E68" s="14">
        <f t="shared" si="56"/>
        <v>98311.041666666672</v>
      </c>
      <c r="F68" s="14">
        <f t="shared" si="56"/>
        <v>85767.437500000073</v>
      </c>
      <c r="G68" s="14">
        <f t="shared" si="56"/>
        <v>66952.03125</v>
      </c>
      <c r="H68" s="66">
        <f t="shared" si="56"/>
        <v>51272.526041666664</v>
      </c>
      <c r="I68" s="14">
        <f t="shared" si="56"/>
        <v>23049.416666666668</v>
      </c>
      <c r="J68" s="14">
        <f t="shared" si="56"/>
        <v>4234.010416666667</v>
      </c>
      <c r="K68" s="14">
        <f t="shared" si="56"/>
        <v>-14581.395833333334</v>
      </c>
    </row>
    <row r="69" spans="2:11" ht="15.75" thickBot="1" x14ac:dyDescent="0.3">
      <c r="B69" t="s">
        <v>88</v>
      </c>
      <c r="C69" s="14">
        <f>+C67/C60</f>
        <v>24.784291636625809</v>
      </c>
      <c r="D69" s="14">
        <f t="shared" ref="D69:K69" si="57">+D67/D60</f>
        <v>22.4375</v>
      </c>
      <c r="E69" s="14">
        <f t="shared" si="57"/>
        <v>21.264104181687095</v>
      </c>
      <c r="F69" s="14">
        <f t="shared" si="57"/>
        <v>20.612217615957718</v>
      </c>
      <c r="G69" s="14">
        <f t="shared" si="57"/>
        <v>19.308444484498917</v>
      </c>
      <c r="H69" s="64">
        <f t="shared" si="57"/>
        <v>17.743916726748377</v>
      </c>
      <c r="I69" s="14">
        <f t="shared" si="57"/>
        <v>12.463635544340303</v>
      </c>
      <c r="J69" s="14">
        <f t="shared" si="57"/>
        <v>3.6631669069935113</v>
      </c>
      <c r="K69" s="14">
        <f t="shared" si="57"/>
        <v>-31.538707642393657</v>
      </c>
    </row>
    <row r="70" spans="2:11" ht="15.75" thickTop="1" x14ac:dyDescent="0.25"/>
  </sheetData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G16" sqref="G16:H16"/>
    </sheetView>
  </sheetViews>
  <sheetFormatPr baseColWidth="10" defaultRowHeight="15" x14ac:dyDescent="0.25"/>
  <cols>
    <col min="1" max="1" width="16.85546875" style="78" customWidth="1"/>
    <col min="2" max="3" width="11.42578125" style="78"/>
    <col min="4" max="4" width="10.42578125" style="78" bestFit="1" customWidth="1"/>
    <col min="5" max="5" width="11.42578125" style="78"/>
    <col min="6" max="6" width="3.7109375" style="78" customWidth="1"/>
    <col min="7" max="7" width="15" style="78" customWidth="1"/>
    <col min="8" max="8" width="15.28515625" style="78" customWidth="1"/>
    <col min="9" max="16384" width="11.42578125" style="78"/>
  </cols>
  <sheetData>
    <row r="1" spans="1:8" x14ac:dyDescent="0.25">
      <c r="A1" s="81" t="s">
        <v>124</v>
      </c>
      <c r="B1" s="83">
        <v>0.09</v>
      </c>
      <c r="C1" s="81" t="s">
        <v>156</v>
      </c>
      <c r="D1" s="84">
        <f>+B1/12</f>
        <v>7.4999999999999997E-3</v>
      </c>
    </row>
    <row r="2" spans="1:8" x14ac:dyDescent="0.25">
      <c r="A2" s="81" t="s">
        <v>125</v>
      </c>
      <c r="B2" s="85">
        <v>1354000</v>
      </c>
      <c r="C2" s="81" t="s">
        <v>126</v>
      </c>
      <c r="D2" s="81"/>
    </row>
    <row r="3" spans="1:8" ht="44.25" customHeight="1" x14ac:dyDescent="0.25">
      <c r="A3" s="186" t="s">
        <v>127</v>
      </c>
      <c r="B3" s="186" t="s">
        <v>128</v>
      </c>
      <c r="C3" s="186" t="s">
        <v>129</v>
      </c>
      <c r="D3" s="186" t="s">
        <v>130</v>
      </c>
      <c r="E3" s="186" t="s">
        <v>131</v>
      </c>
      <c r="F3" s="187"/>
      <c r="G3" s="186" t="s">
        <v>132</v>
      </c>
      <c r="H3" s="186" t="s">
        <v>133</v>
      </c>
    </row>
    <row r="4" spans="1:8" x14ac:dyDescent="0.25">
      <c r="A4" s="79">
        <v>1</v>
      </c>
      <c r="B4" s="86">
        <f>+B2</f>
        <v>1354000</v>
      </c>
      <c r="C4" s="80">
        <f t="shared" ref="C4:C15" si="0">+B$2/12</f>
        <v>112833.33333333333</v>
      </c>
      <c r="D4" s="80">
        <f t="shared" ref="D4:D15" si="1">+B4*D$1</f>
        <v>10155</v>
      </c>
      <c r="E4" s="80">
        <f t="shared" ref="E4:E15" si="2">+C4+D4</f>
        <v>122988.33333333333</v>
      </c>
      <c r="G4" s="80">
        <v>163673</v>
      </c>
      <c r="H4" s="80">
        <f>+G4-E4</f>
        <v>40684.666666666672</v>
      </c>
    </row>
    <row r="5" spans="1:8" x14ac:dyDescent="0.25">
      <c r="A5" s="79">
        <v>2</v>
      </c>
      <c r="B5" s="86">
        <f t="shared" ref="B5:B15" si="3">+B4-C4</f>
        <v>1241166.6666666667</v>
      </c>
      <c r="C5" s="80">
        <f t="shared" si="0"/>
        <v>112833.33333333333</v>
      </c>
      <c r="D5" s="80">
        <f t="shared" si="1"/>
        <v>9308.75</v>
      </c>
      <c r="E5" s="80">
        <f t="shared" si="2"/>
        <v>122142.08333333333</v>
      </c>
      <c r="G5" s="80">
        <v>163673</v>
      </c>
      <c r="H5" s="80">
        <f t="shared" ref="H5:H15" si="4">+G5-E5</f>
        <v>41530.916666666672</v>
      </c>
    </row>
    <row r="6" spans="1:8" x14ac:dyDescent="0.25">
      <c r="A6" s="79">
        <v>3</v>
      </c>
      <c r="B6" s="86">
        <f t="shared" si="3"/>
        <v>1128333.3333333335</v>
      </c>
      <c r="C6" s="80">
        <f t="shared" si="0"/>
        <v>112833.33333333333</v>
      </c>
      <c r="D6" s="80">
        <f t="shared" si="1"/>
        <v>8462.5</v>
      </c>
      <c r="E6" s="80">
        <f t="shared" si="2"/>
        <v>121295.83333333333</v>
      </c>
      <c r="G6" s="80">
        <v>163673</v>
      </c>
      <c r="H6" s="80">
        <f t="shared" si="4"/>
        <v>42377.166666666672</v>
      </c>
    </row>
    <row r="7" spans="1:8" x14ac:dyDescent="0.25">
      <c r="A7" s="79">
        <v>4</v>
      </c>
      <c r="B7" s="86">
        <f t="shared" si="3"/>
        <v>1015500.0000000001</v>
      </c>
      <c r="C7" s="80">
        <f t="shared" si="0"/>
        <v>112833.33333333333</v>
      </c>
      <c r="D7" s="80">
        <f t="shared" si="1"/>
        <v>7616.2500000000009</v>
      </c>
      <c r="E7" s="80">
        <f t="shared" si="2"/>
        <v>120449.58333333333</v>
      </c>
      <c r="G7" s="80">
        <v>163673</v>
      </c>
      <c r="H7" s="80">
        <f t="shared" si="4"/>
        <v>43223.416666666672</v>
      </c>
    </row>
    <row r="8" spans="1:8" x14ac:dyDescent="0.25">
      <c r="A8" s="79">
        <v>5</v>
      </c>
      <c r="B8" s="86">
        <f t="shared" si="3"/>
        <v>902666.66666666674</v>
      </c>
      <c r="C8" s="80">
        <f t="shared" si="0"/>
        <v>112833.33333333333</v>
      </c>
      <c r="D8" s="80">
        <f t="shared" si="1"/>
        <v>6770</v>
      </c>
      <c r="E8" s="80">
        <f t="shared" si="2"/>
        <v>119603.33333333333</v>
      </c>
      <c r="G8" s="80">
        <v>163673</v>
      </c>
      <c r="H8" s="80">
        <f t="shared" si="4"/>
        <v>44069.666666666672</v>
      </c>
    </row>
    <row r="9" spans="1:8" x14ac:dyDescent="0.25">
      <c r="A9" s="79">
        <v>6</v>
      </c>
      <c r="B9" s="86">
        <f t="shared" si="3"/>
        <v>789833.33333333337</v>
      </c>
      <c r="C9" s="80">
        <f t="shared" si="0"/>
        <v>112833.33333333333</v>
      </c>
      <c r="D9" s="80">
        <f t="shared" si="1"/>
        <v>5923.75</v>
      </c>
      <c r="E9" s="80">
        <f t="shared" si="2"/>
        <v>118757.08333333333</v>
      </c>
      <c r="G9" s="80">
        <v>163673</v>
      </c>
      <c r="H9" s="80">
        <f t="shared" si="4"/>
        <v>44915.916666666672</v>
      </c>
    </row>
    <row r="10" spans="1:8" x14ac:dyDescent="0.25">
      <c r="A10" s="79">
        <v>7</v>
      </c>
      <c r="B10" s="86">
        <f t="shared" si="3"/>
        <v>677000</v>
      </c>
      <c r="C10" s="80">
        <f t="shared" si="0"/>
        <v>112833.33333333333</v>
      </c>
      <c r="D10" s="80">
        <f t="shared" si="1"/>
        <v>5077.5</v>
      </c>
      <c r="E10" s="80">
        <f t="shared" si="2"/>
        <v>117910.83333333333</v>
      </c>
      <c r="G10" s="80">
        <v>163673</v>
      </c>
      <c r="H10" s="80">
        <f t="shared" si="4"/>
        <v>45762.166666666672</v>
      </c>
    </row>
    <row r="11" spans="1:8" x14ac:dyDescent="0.25">
      <c r="A11" s="79">
        <v>8</v>
      </c>
      <c r="B11" s="86">
        <f t="shared" si="3"/>
        <v>564166.66666666663</v>
      </c>
      <c r="C11" s="80">
        <f t="shared" si="0"/>
        <v>112833.33333333333</v>
      </c>
      <c r="D11" s="80">
        <f t="shared" si="1"/>
        <v>4231.25</v>
      </c>
      <c r="E11" s="80">
        <f t="shared" si="2"/>
        <v>117064.58333333333</v>
      </c>
      <c r="G11" s="80">
        <v>163673</v>
      </c>
      <c r="H11" s="80">
        <f t="shared" si="4"/>
        <v>46608.416666666672</v>
      </c>
    </row>
    <row r="12" spans="1:8" x14ac:dyDescent="0.25">
      <c r="A12" s="79">
        <v>9</v>
      </c>
      <c r="B12" s="86">
        <f t="shared" si="3"/>
        <v>451333.33333333331</v>
      </c>
      <c r="C12" s="80">
        <f t="shared" si="0"/>
        <v>112833.33333333333</v>
      </c>
      <c r="D12" s="80">
        <f t="shared" si="1"/>
        <v>3384.9999999999995</v>
      </c>
      <c r="E12" s="80">
        <f t="shared" si="2"/>
        <v>116218.33333333333</v>
      </c>
      <c r="G12" s="80">
        <v>163673</v>
      </c>
      <c r="H12" s="80">
        <f t="shared" si="4"/>
        <v>47454.666666666672</v>
      </c>
    </row>
    <row r="13" spans="1:8" x14ac:dyDescent="0.25">
      <c r="A13" s="79">
        <v>10</v>
      </c>
      <c r="B13" s="86">
        <f t="shared" si="3"/>
        <v>338500</v>
      </c>
      <c r="C13" s="80">
        <f t="shared" si="0"/>
        <v>112833.33333333333</v>
      </c>
      <c r="D13" s="80">
        <f t="shared" si="1"/>
        <v>2538.75</v>
      </c>
      <c r="E13" s="80">
        <f t="shared" si="2"/>
        <v>115372.08333333333</v>
      </c>
      <c r="G13" s="80">
        <v>163673</v>
      </c>
      <c r="H13" s="80">
        <f t="shared" si="4"/>
        <v>48300.916666666672</v>
      </c>
    </row>
    <row r="14" spans="1:8" x14ac:dyDescent="0.25">
      <c r="A14" s="79">
        <v>11</v>
      </c>
      <c r="B14" s="86">
        <f t="shared" si="3"/>
        <v>225666.66666666669</v>
      </c>
      <c r="C14" s="80">
        <f t="shared" si="0"/>
        <v>112833.33333333333</v>
      </c>
      <c r="D14" s="80">
        <f t="shared" si="1"/>
        <v>1692.5</v>
      </c>
      <c r="E14" s="80">
        <f t="shared" si="2"/>
        <v>114525.83333333333</v>
      </c>
      <c r="G14" s="80">
        <v>163673</v>
      </c>
      <c r="H14" s="80">
        <f t="shared" si="4"/>
        <v>49147.166666666672</v>
      </c>
    </row>
    <row r="15" spans="1:8" x14ac:dyDescent="0.25">
      <c r="A15" s="79">
        <v>12</v>
      </c>
      <c r="B15" s="86">
        <f t="shared" si="3"/>
        <v>112833.33333333336</v>
      </c>
      <c r="C15" s="80">
        <f t="shared" si="0"/>
        <v>112833.33333333333</v>
      </c>
      <c r="D15" s="80">
        <f t="shared" si="1"/>
        <v>846.25000000000011</v>
      </c>
      <c r="E15" s="80">
        <f t="shared" si="2"/>
        <v>113679.58333333333</v>
      </c>
      <c r="G15" s="80">
        <v>163673</v>
      </c>
      <c r="H15" s="80">
        <f t="shared" si="4"/>
        <v>49993.416666666672</v>
      </c>
    </row>
    <row r="16" spans="1:8" x14ac:dyDescent="0.25">
      <c r="C16" s="191"/>
      <c r="D16" s="191"/>
      <c r="E16" s="191"/>
      <c r="G16" s="191"/>
      <c r="H16" s="19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opLeftCell="B1" workbookViewId="0">
      <selection activeCell="C7" sqref="C7"/>
    </sheetView>
  </sheetViews>
  <sheetFormatPr baseColWidth="10" defaultRowHeight="15" x14ac:dyDescent="0.25"/>
  <cols>
    <col min="1" max="1" width="11.42578125" style="78"/>
    <col min="2" max="2" width="41" style="78" customWidth="1"/>
    <col min="3" max="3" width="32.28515625" style="78" customWidth="1"/>
    <col min="4" max="4" width="25.85546875" style="92" customWidth="1"/>
    <col min="5" max="5" width="17.85546875" style="78" customWidth="1"/>
    <col min="6" max="16384" width="11.42578125" style="78"/>
  </cols>
  <sheetData>
    <row r="2" spans="2:5" x14ac:dyDescent="0.25">
      <c r="B2" s="189" t="s">
        <v>139</v>
      </c>
      <c r="C2" s="147"/>
      <c r="D2" s="188"/>
      <c r="E2" s="147"/>
    </row>
    <row r="3" spans="2:5" x14ac:dyDescent="0.25">
      <c r="B3" s="134" t="s">
        <v>218</v>
      </c>
      <c r="C3" s="147"/>
      <c r="D3" s="188"/>
      <c r="E3" s="147"/>
    </row>
    <row r="6" spans="2:5" ht="30" customHeight="1" x14ac:dyDescent="0.25">
      <c r="B6" s="93" t="s">
        <v>184</v>
      </c>
      <c r="C6" s="93" t="s">
        <v>163</v>
      </c>
      <c r="D6" s="93" t="s">
        <v>212</v>
      </c>
      <c r="E6" s="93" t="s">
        <v>211</v>
      </c>
    </row>
    <row r="7" spans="2:5" ht="36" customHeight="1" x14ac:dyDescent="0.25">
      <c r="B7" s="202" t="s">
        <v>185</v>
      </c>
      <c r="C7" s="93"/>
      <c r="D7" s="95" t="s">
        <v>203</v>
      </c>
      <c r="E7" s="97">
        <v>14000</v>
      </c>
    </row>
    <row r="8" spans="2:5" ht="36" customHeight="1" x14ac:dyDescent="0.25">
      <c r="B8" s="203"/>
      <c r="C8" s="93" t="s">
        <v>160</v>
      </c>
      <c r="D8" s="95" t="s">
        <v>186</v>
      </c>
      <c r="E8" s="97">
        <v>12440</v>
      </c>
    </row>
    <row r="9" spans="2:5" ht="36" customHeight="1" x14ac:dyDescent="0.25">
      <c r="B9" s="204"/>
      <c r="C9" s="95" t="s">
        <v>202</v>
      </c>
      <c r="D9" s="95" t="s">
        <v>187</v>
      </c>
      <c r="E9" s="97">
        <v>13000</v>
      </c>
    </row>
    <row r="10" spans="2:5" x14ac:dyDescent="0.25">
      <c r="B10" s="79" t="s">
        <v>164</v>
      </c>
      <c r="C10" s="79" t="s">
        <v>165</v>
      </c>
      <c r="D10" s="96" t="s">
        <v>177</v>
      </c>
      <c r="E10" s="97">
        <v>36000</v>
      </c>
    </row>
    <row r="11" spans="2:5" x14ac:dyDescent="0.25">
      <c r="B11" s="79" t="s">
        <v>166</v>
      </c>
      <c r="C11" s="79" t="s">
        <v>165</v>
      </c>
      <c r="D11" s="96" t="s">
        <v>177</v>
      </c>
      <c r="E11" s="97">
        <v>36000</v>
      </c>
    </row>
    <row r="12" spans="2:5" x14ac:dyDescent="0.25">
      <c r="B12" s="79" t="s">
        <v>167</v>
      </c>
      <c r="C12" s="79" t="s">
        <v>168</v>
      </c>
      <c r="D12" s="79" t="s">
        <v>178</v>
      </c>
      <c r="E12" s="97">
        <v>80000</v>
      </c>
    </row>
    <row r="13" spans="2:5" x14ac:dyDescent="0.25">
      <c r="B13" s="205" t="s">
        <v>180</v>
      </c>
      <c r="C13" s="79" t="s">
        <v>169</v>
      </c>
      <c r="D13" s="79" t="s">
        <v>181</v>
      </c>
      <c r="E13" s="98">
        <v>40000</v>
      </c>
    </row>
    <row r="14" spans="2:5" x14ac:dyDescent="0.25">
      <c r="B14" s="206"/>
      <c r="C14" s="79" t="s">
        <v>170</v>
      </c>
      <c r="D14" s="79" t="s">
        <v>182</v>
      </c>
      <c r="E14" s="98">
        <v>40000</v>
      </c>
    </row>
    <row r="15" spans="2:5" x14ac:dyDescent="0.25">
      <c r="B15" s="207"/>
      <c r="C15" s="79" t="s">
        <v>171</v>
      </c>
      <c r="D15" s="79" t="s">
        <v>183</v>
      </c>
      <c r="E15" s="98">
        <v>40000</v>
      </c>
    </row>
    <row r="16" spans="2:5" x14ac:dyDescent="0.25">
      <c r="B16" s="205" t="s">
        <v>188</v>
      </c>
      <c r="C16" s="79" t="s">
        <v>172</v>
      </c>
      <c r="D16" s="205" t="s">
        <v>179</v>
      </c>
      <c r="E16" s="199">
        <v>110000</v>
      </c>
    </row>
    <row r="17" spans="2:5" x14ac:dyDescent="0.25">
      <c r="B17" s="206"/>
      <c r="C17" s="79" t="s">
        <v>173</v>
      </c>
      <c r="D17" s="206"/>
      <c r="E17" s="200"/>
    </row>
    <row r="18" spans="2:5" x14ac:dyDescent="0.25">
      <c r="B18" s="206"/>
      <c r="C18" s="79" t="s">
        <v>174</v>
      </c>
      <c r="D18" s="206"/>
      <c r="E18" s="200"/>
    </row>
    <row r="19" spans="2:5" x14ac:dyDescent="0.25">
      <c r="B19" s="206"/>
      <c r="C19" s="79" t="s">
        <v>175</v>
      </c>
      <c r="D19" s="206"/>
      <c r="E19" s="200"/>
    </row>
    <row r="20" spans="2:5" x14ac:dyDescent="0.25">
      <c r="B20" s="207"/>
      <c r="C20" s="79" t="s">
        <v>176</v>
      </c>
      <c r="D20" s="207"/>
      <c r="E20" s="201"/>
    </row>
    <row r="21" spans="2:5" x14ac:dyDescent="0.25">
      <c r="B21" s="79"/>
      <c r="C21" s="79" t="s">
        <v>134</v>
      </c>
      <c r="D21" s="82" t="s">
        <v>136</v>
      </c>
      <c r="E21" s="98">
        <v>31000</v>
      </c>
    </row>
    <row r="22" spans="2:5" x14ac:dyDescent="0.25">
      <c r="B22" s="79"/>
      <c r="C22" s="79" t="s">
        <v>135</v>
      </c>
      <c r="D22" s="82" t="s">
        <v>137</v>
      </c>
      <c r="E22" s="98">
        <v>3750</v>
      </c>
    </row>
    <row r="23" spans="2:5" x14ac:dyDescent="0.25">
      <c r="B23" s="79"/>
      <c r="C23" s="79" t="s">
        <v>106</v>
      </c>
      <c r="D23" s="82" t="s">
        <v>138</v>
      </c>
      <c r="E23" s="98">
        <v>9095</v>
      </c>
    </row>
    <row r="24" spans="2:5" x14ac:dyDescent="0.25">
      <c r="E24" s="92"/>
    </row>
  </sheetData>
  <mergeCells count="5">
    <mergeCell ref="E16:E20"/>
    <mergeCell ref="B7:B9"/>
    <mergeCell ref="B13:B15"/>
    <mergeCell ref="B16:B20"/>
    <mergeCell ref="D16:D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>
      <selection activeCell="E20" sqref="E20"/>
    </sheetView>
  </sheetViews>
  <sheetFormatPr baseColWidth="10" defaultRowHeight="15" x14ac:dyDescent="0.25"/>
  <cols>
    <col min="2" max="2" width="21.28515625" style="28" customWidth="1"/>
    <col min="3" max="3" width="20.28515625" style="28" customWidth="1"/>
    <col min="4" max="4" width="13.28515625" style="28" customWidth="1"/>
  </cols>
  <sheetData>
    <row r="2" spans="2:4" x14ac:dyDescent="0.25">
      <c r="B2" s="28" t="s">
        <v>140</v>
      </c>
    </row>
    <row r="4" spans="2:4" ht="29.25" customHeight="1" x14ac:dyDescent="0.25">
      <c r="B4" s="185" t="s">
        <v>141</v>
      </c>
      <c r="C4" s="185" t="s">
        <v>142</v>
      </c>
      <c r="D4" s="185" t="s">
        <v>143</v>
      </c>
    </row>
    <row r="5" spans="2:4" x14ac:dyDescent="0.25">
      <c r="B5" s="70" t="s">
        <v>144</v>
      </c>
      <c r="C5" s="70" t="s">
        <v>145</v>
      </c>
      <c r="D5" s="71">
        <v>160</v>
      </c>
    </row>
    <row r="6" spans="2:4" x14ac:dyDescent="0.25">
      <c r="B6" s="70" t="s">
        <v>146</v>
      </c>
      <c r="C6" s="70" t="s">
        <v>151</v>
      </c>
      <c r="D6" s="71">
        <v>140</v>
      </c>
    </row>
    <row r="7" spans="2:4" x14ac:dyDescent="0.25">
      <c r="B7" s="70" t="s">
        <v>147</v>
      </c>
      <c r="C7" s="70" t="s">
        <v>152</v>
      </c>
      <c r="D7" s="71">
        <v>120</v>
      </c>
    </row>
    <row r="8" spans="2:4" x14ac:dyDescent="0.25">
      <c r="B8" s="70" t="s">
        <v>148</v>
      </c>
      <c r="C8" s="70" t="s">
        <v>153</v>
      </c>
      <c r="D8" s="71">
        <v>110</v>
      </c>
    </row>
    <row r="9" spans="2:4" x14ac:dyDescent="0.25">
      <c r="B9" s="70" t="s">
        <v>149</v>
      </c>
      <c r="C9" s="70" t="s">
        <v>155</v>
      </c>
      <c r="D9" s="71">
        <v>80</v>
      </c>
    </row>
    <row r="10" spans="2:4" x14ac:dyDescent="0.25">
      <c r="B10" s="70" t="s">
        <v>150</v>
      </c>
      <c r="C10" s="70" t="s">
        <v>154</v>
      </c>
      <c r="D10" s="71">
        <v>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30</vt:i4>
      </vt:variant>
    </vt:vector>
  </HeadingPairs>
  <TitlesOfParts>
    <vt:vector size="35" baseType="lpstr">
      <vt:lpstr>Caso Base</vt:lpstr>
      <vt:lpstr>Escenarios</vt:lpstr>
      <vt:lpstr>Crédito</vt:lpstr>
      <vt:lpstr>Vacunas</vt:lpstr>
      <vt:lpstr>Valor Huevos</vt:lpstr>
      <vt:lpstr>'Caso Base'!Área_de_impresión</vt:lpstr>
      <vt:lpstr>Escenarios!Área_de_impresión</vt:lpstr>
      <vt:lpstr>Aves_x_m_cuadr</vt:lpstr>
      <vt:lpstr>Consumo_alim_pollitas_hasta_madurez</vt:lpstr>
      <vt:lpstr>Cost_vacunas_porpollita</vt:lpstr>
      <vt:lpstr>Costo_alim_pollitas</vt:lpstr>
      <vt:lpstr>Costo_alim_ponedoras</vt:lpstr>
      <vt:lpstr>Costo_anual_agua</vt:lpstr>
      <vt:lpstr>Costo_anual_alim</vt:lpstr>
      <vt:lpstr>Costo_anual_alimxave</vt:lpstr>
      <vt:lpstr>Costo_anual_electricidad</vt:lpstr>
      <vt:lpstr>Costo_ave_ponedora</vt:lpstr>
      <vt:lpstr>Costo_const_m2</vt:lpstr>
      <vt:lpstr>Factor_postura_primer_año</vt:lpstr>
      <vt:lpstr>factor_postura_segundo_año</vt:lpstr>
      <vt:lpstr>Factor_sobrevivencia_segundo_año</vt:lpstr>
      <vt:lpstr>Num_avespor_m2</vt:lpstr>
      <vt:lpstr>Precio_aves</vt:lpstr>
      <vt:lpstr>precio_prom_veta_huevos</vt:lpstr>
      <vt:lpstr>Valor_dosis_BronqInfMA5</vt:lpstr>
      <vt:lpstr>Valor_dosis_DVEA</vt:lpstr>
      <vt:lpstr>valor_dosis_gumboro</vt:lpstr>
      <vt:lpstr>Valor_dosis_Laringotraq</vt:lpstr>
      <vt:lpstr>Valor_dosis_NewcastClone</vt:lpstr>
      <vt:lpstr>Valor_dosis_newcastle</vt:lpstr>
      <vt:lpstr>Valor_dosis_Salmonella</vt:lpstr>
      <vt:lpstr>Valor_dosis_Triple</vt:lpstr>
      <vt:lpstr>Valor_limp_guano</vt:lpstr>
      <vt:lpstr>Valor_veterinario</vt:lpstr>
      <vt:lpstr>Valor_vta_ave_vieja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Fuentes Beard Cristian</dc:creator>
  <cp:lastModifiedBy>Alvarez Pizarro Juan Pablo</cp:lastModifiedBy>
  <cp:lastPrinted>2018-05-23T18:50:57Z</cp:lastPrinted>
  <dcterms:created xsi:type="dcterms:W3CDTF">2018-05-23T14:30:03Z</dcterms:created>
  <dcterms:modified xsi:type="dcterms:W3CDTF">2021-03-12T18:35:13Z</dcterms:modified>
</cp:coreProperties>
</file>