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Angol\"/>
    </mc:Choice>
  </mc:AlternateContent>
  <bookViews>
    <workbookView xWindow="0" yWindow="0" windowWidth="20490" windowHeight="7155"/>
  </bookViews>
  <sheets>
    <sheet name="Tomate Invernader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91" i="2" l="1"/>
  <c r="G28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1" i="2"/>
  <c r="G70" i="2"/>
  <c r="G69" i="2"/>
  <c r="G68" i="2"/>
  <c r="G67" i="2"/>
  <c r="G66" i="2"/>
  <c r="G65" i="2"/>
  <c r="F63" i="2"/>
  <c r="D63" i="2"/>
  <c r="D62" i="2"/>
  <c r="G62" i="2" s="1"/>
  <c r="F61" i="2"/>
  <c r="G61" i="2" s="1"/>
  <c r="G60" i="2"/>
  <c r="D59" i="2"/>
  <c r="G59" i="2" s="1"/>
  <c r="G58" i="2"/>
  <c r="G57" i="2"/>
  <c r="G52" i="2"/>
  <c r="D42" i="2"/>
  <c r="G42" i="2" s="1"/>
  <c r="D41" i="2"/>
  <c r="G41" i="2" s="1"/>
  <c r="G39" i="2"/>
  <c r="F37" i="2"/>
  <c r="G37" i="2" s="1"/>
  <c r="G36" i="2"/>
  <c r="D35" i="2"/>
  <c r="G35" i="2" s="1"/>
  <c r="G34" i="2"/>
  <c r="D33" i="2"/>
  <c r="G33" i="2" s="1"/>
  <c r="G32" i="2"/>
  <c r="D31" i="2"/>
  <c r="G31" i="2" s="1"/>
  <c r="D30" i="2"/>
  <c r="G30" i="2" s="1"/>
  <c r="G29" i="2"/>
  <c r="D27" i="2"/>
  <c r="G27" i="2" s="1"/>
  <c r="D26" i="2"/>
  <c r="G26" i="2" s="1"/>
  <c r="D24" i="2"/>
  <c r="G24" i="2" s="1"/>
  <c r="D23" i="2"/>
  <c r="G23" i="2" s="1"/>
  <c r="D22" i="2"/>
  <c r="G22" i="2" s="1"/>
  <c r="G63" i="2" l="1"/>
  <c r="G87" i="2"/>
  <c r="G53" i="2"/>
  <c r="D40" i="2"/>
  <c r="G40" i="2" s="1"/>
  <c r="G43" i="2" s="1"/>
  <c r="G97" i="2" l="1"/>
  <c r="C113" i="2" l="1"/>
  <c r="G92" i="2"/>
  <c r="C115" i="2" s="1"/>
  <c r="C114" i="2"/>
  <c r="C111" i="2"/>
  <c r="C112" i="2" l="1"/>
  <c r="G94" i="2"/>
  <c r="G95" i="2" s="1"/>
  <c r="C116" i="2" s="1"/>
  <c r="C117" i="2" s="1"/>
  <c r="D111" i="2" s="1"/>
  <c r="G96" i="2" l="1"/>
  <c r="D113" i="2"/>
  <c r="D114" i="2"/>
  <c r="D115" i="2"/>
  <c r="D116" i="2"/>
  <c r="D122" i="2" l="1"/>
  <c r="G98" i="2"/>
  <c r="C122" i="2"/>
  <c r="E122" i="2"/>
  <c r="D117" i="2"/>
</calcChain>
</file>

<file path=xl/sharedStrings.xml><?xml version="1.0" encoding="utf-8"?>
<sst xmlns="http://schemas.openxmlformats.org/spreadsheetml/2006/main" count="243" uniqueCount="155">
  <si>
    <t>RUBRO O CULTIVO</t>
  </si>
  <si>
    <t>TOMATE INDETERMINADO PRIMOR BAJO PLASTICO</t>
  </si>
  <si>
    <t>RENDIMIENTO (Kg/Há.)</t>
  </si>
  <si>
    <t>VARIEDAD</t>
  </si>
  <si>
    <t>Eterei, María Italia, Runer y Besuto</t>
  </si>
  <si>
    <t>FECHA ESTIMADA  PRECIO VENTA</t>
  </si>
  <si>
    <t>Dic- Feb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</si>
  <si>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</si>
  <si>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</si>
  <si>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</si>
  <si>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</si>
  <si>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</si>
  <si>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</si>
  <si>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</si>
  <si>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ANGOL</t>
  </si>
  <si>
    <t>DESTINO PRODUCCION</t>
  </si>
  <si>
    <t>MERCADO INTERNO</t>
  </si>
  <si>
    <t>COMUNA/LOCALIDAD</t>
  </si>
  <si>
    <t>ANGOL Y RENAICO</t>
  </si>
  <si>
    <t>FECHA DE COSECHA</t>
  </si>
  <si>
    <t>FECHA PRECIO INSUMOS</t>
  </si>
  <si>
    <t>CONTINGENCIA</t>
  </si>
  <si>
    <t>HELADAS, VIENTO, 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</si>
  <si>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</si>
  <si>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</si>
  <si>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</si>
  <si>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</si>
  <si>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</si>
  <si>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</si>
  <si>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</si>
  <si>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</si>
  <si>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Reparacion de invernaderos</t>
  </si>
  <si>
    <t>Destechar y Techar</t>
  </si>
  <si>
    <t>naves</t>
  </si>
  <si>
    <t>Marzo</t>
  </si>
  <si>
    <t>Instalacion  cortinas</t>
  </si>
  <si>
    <t>Postura doble techo o manta térmica</t>
  </si>
  <si>
    <t>Agosto</t>
  </si>
  <si>
    <t>Labores del cultivo</t>
  </si>
  <si>
    <t xml:space="preserve">Establecimiento de cintas </t>
  </si>
  <si>
    <t>JH</t>
  </si>
  <si>
    <t>Fertilización de fondo</t>
  </si>
  <si>
    <t>Desinfección de suelo e instalación de mulch</t>
  </si>
  <si>
    <t>Transplante plantines</t>
  </si>
  <si>
    <t xml:space="preserve">Aplicación Fitosanitarios </t>
  </si>
  <si>
    <t>Fertirriego</t>
  </si>
  <si>
    <t>Ago-Feb</t>
  </si>
  <si>
    <t xml:space="preserve">Labores de poda y conducción </t>
  </si>
  <si>
    <t>Sept- Ene</t>
  </si>
  <si>
    <t>Ventilación</t>
  </si>
  <si>
    <t>Oct- Feb</t>
  </si>
  <si>
    <t>Eliminaciòn doble techo</t>
  </si>
  <si>
    <t>Noviembre</t>
  </si>
  <si>
    <t>Limpieza pasillos</t>
  </si>
  <si>
    <t>Arranca de plantas y raspado de pasillos</t>
  </si>
  <si>
    <t>nave</t>
  </si>
  <si>
    <t>Febrero</t>
  </si>
  <si>
    <t>Eliminacion de rastrojo</t>
  </si>
  <si>
    <t>ha</t>
  </si>
  <si>
    <t>Labores de cosecha</t>
  </si>
  <si>
    <t>Cosecha mano obra permenente</t>
  </si>
  <si>
    <t>Cajón</t>
  </si>
  <si>
    <t>Cosecha externalizada</t>
  </si>
  <si>
    <t>Seleccion</t>
  </si>
  <si>
    <t>Embalaje</t>
  </si>
  <si>
    <t>Subtotal Jornadas Hombre</t>
  </si>
  <si>
    <t>JORNADAS ANIMAL</t>
  </si>
  <si>
    <t>Subtotal Jornadas Animal</t>
  </si>
  <si>
    <t>MAQUINARIA</t>
  </si>
  <si>
    <t>Motocultivador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</si>
  <si>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</si>
  <si>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</si>
  <si>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</si>
  <si>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</si>
  <si>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</si>
  <si>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</si>
  <si>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</si>
  <si>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Plantines</t>
  </si>
  <si>
    <t xml:space="preserve">un </t>
  </si>
  <si>
    <t>Polietileno tricapa 6 m x 200 mic</t>
  </si>
  <si>
    <t>Kg</t>
  </si>
  <si>
    <t>Doble Techo 1 temporada 0,03 mm</t>
  </si>
  <si>
    <t>Mulch bicolor</t>
  </si>
  <si>
    <t>kg</t>
  </si>
  <si>
    <t>Cinta de riego</t>
  </si>
  <si>
    <t>metro lineal</t>
  </si>
  <si>
    <t>Cinta garetta</t>
  </si>
  <si>
    <t>Septiembre</t>
  </si>
  <si>
    <t xml:space="preserve">Tiras pegajosas adhesivas amarillas </t>
  </si>
  <si>
    <t>rollo 30 cm x 100 m</t>
  </si>
  <si>
    <t>FERTILIZANTES</t>
  </si>
  <si>
    <t>Mezcla 11-30-11</t>
  </si>
  <si>
    <t>Nitrato de potasio soluble</t>
  </si>
  <si>
    <t>Oct-En</t>
  </si>
  <si>
    <t>Nitrato de calcio soluble</t>
  </si>
  <si>
    <t>Ultrasol desarrollo</t>
  </si>
  <si>
    <t>Ag-Oct</t>
  </si>
  <si>
    <t>Abonos foliares</t>
  </si>
  <si>
    <t>bidon 20 lt</t>
  </si>
  <si>
    <t>Sept-En</t>
  </si>
  <si>
    <t>Zoberaminol radicular</t>
  </si>
  <si>
    <t>bidon 25 lt</t>
  </si>
  <si>
    <t>Rukam Cuaja</t>
  </si>
  <si>
    <t>lt</t>
  </si>
  <si>
    <t>Oct-Nov</t>
  </si>
  <si>
    <t>INSECTICIDAS</t>
  </si>
  <si>
    <t>Sunfire</t>
  </si>
  <si>
    <t>Evisect</t>
  </si>
  <si>
    <t>Succes</t>
  </si>
  <si>
    <t>Proclaim Forte</t>
  </si>
  <si>
    <t>Induce Ph</t>
  </si>
  <si>
    <t>Dipel</t>
  </si>
  <si>
    <t>envase 500 gr</t>
  </si>
  <si>
    <t>FUNGICIDAS</t>
  </si>
  <si>
    <t>Trichoderma</t>
  </si>
  <si>
    <t>L</t>
  </si>
  <si>
    <t>Previcur Energy</t>
  </si>
  <si>
    <t>l</t>
  </si>
  <si>
    <t>Bellis</t>
  </si>
  <si>
    <t>Luna Experience</t>
  </si>
  <si>
    <t>Switch</t>
  </si>
  <si>
    <t>Cercobin</t>
  </si>
  <si>
    <t>Mastercop</t>
  </si>
  <si>
    <t>Subtotal Insumos</t>
  </si>
  <si>
    <t>OTROS</t>
  </si>
  <si>
    <t>Item</t>
  </si>
  <si>
    <t>Tablas reparación invernaderos</t>
  </si>
  <si>
    <t>tapas 4x1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</si>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</sst>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indexed="9"/>
      <name val="Calibri"/>
    </font>
    <font>
      <sz val="9"/>
      <color theme="1"/>
      <name val="Calibri"/>
    </font>
    <font>
      <sz val="9"/>
      <color indexed="8"/>
      <name val="Calibri"/>
    </font>
    <font>
      <sz val="9"/>
      <color indexed="9"/>
      <name val="Calibri"/>
    </font>
    <font>
      <b/>
      <i/>
      <sz val="9"/>
      <color indexed="9"/>
      <name val="Calibri"/>
    </font>
    <font>
      <b/>
      <sz val="9"/>
      <color theme="1"/>
      <name val="Calibri"/>
    </font>
    <font>
      <sz val="9"/>
      <name val="Calibri"/>
    </font>
    <font>
      <sz val="9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13" fillId="0" borderId="18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16" xfId="0" applyFont="1" applyFill="1" applyBorder="1" applyAlignment="1"/>
    <xf numFmtId="0" fontId="9" fillId="6" borderId="18" xfId="0" applyFont="1" applyFill="1" applyBorder="1" applyAlignment="1"/>
    <xf numFmtId="49" fontId="7" fillId="7" borderId="19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165" fontId="1" fillId="2" borderId="18" xfId="0" applyNumberFormat="1" applyFont="1" applyFill="1" applyBorder="1" applyAlignment="1">
      <alignment vertical="center"/>
    </xf>
    <xf numFmtId="165" fontId="11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9" xfId="0" applyNumberFormat="1" applyFont="1" applyFill="1" applyBorder="1" applyAlignment="1">
      <alignment vertical="center"/>
    </xf>
    <xf numFmtId="49" fontId="9" fillId="7" borderId="30" xfId="0" applyNumberFormat="1" applyFont="1" applyFill="1" applyBorder="1" applyAlignment="1"/>
    <xf numFmtId="49" fontId="7" fillId="2" borderId="31" xfId="0" applyNumberFormat="1" applyFont="1" applyFill="1" applyBorder="1" applyAlignment="1">
      <alignment vertical="center"/>
    </xf>
    <xf numFmtId="9" fontId="9" fillId="2" borderId="32" xfId="0" applyNumberFormat="1" applyFont="1" applyFill="1" applyBorder="1" applyAlignment="1"/>
    <xf numFmtId="49" fontId="7" fillId="7" borderId="33" xfId="0" applyNumberFormat="1" applyFont="1" applyFill="1" applyBorder="1" applyAlignment="1">
      <alignment vertical="center"/>
    </xf>
    <xf numFmtId="166" fontId="7" fillId="7" borderId="34" xfId="0" applyNumberFormat="1" applyFont="1" applyFill="1" applyBorder="1" applyAlignment="1">
      <alignment vertical="center"/>
    </xf>
    <xf numFmtId="9" fontId="7" fillId="7" borderId="35" xfId="0" applyNumberFormat="1" applyFont="1" applyFill="1" applyBorder="1" applyAlignment="1">
      <alignment vertical="center"/>
    </xf>
    <xf numFmtId="0" fontId="9" fillId="8" borderId="38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vertical="center"/>
    </xf>
    <xf numFmtId="0" fontId="9" fillId="2" borderId="40" xfId="0" applyFont="1" applyFill="1" applyBorder="1" applyAlignment="1"/>
    <xf numFmtId="0" fontId="9" fillId="2" borderId="41" xfId="0" applyFont="1" applyFill="1" applyBorder="1" applyAlignment="1"/>
    <xf numFmtId="49" fontId="9" fillId="2" borderId="42" xfId="0" applyNumberFormat="1" applyFont="1" applyFill="1" applyBorder="1" applyAlignment="1">
      <alignment vertical="center"/>
    </xf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0" fontId="9" fillId="2" borderId="46" xfId="0" applyFont="1" applyFill="1" applyBorder="1" applyAlignment="1"/>
    <xf numFmtId="0" fontId="7" fillId="6" borderId="18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49" fontId="12" fillId="8" borderId="18" xfId="0" applyNumberFormat="1" applyFont="1" applyFill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0" fontId="4" fillId="8" borderId="47" xfId="0" applyFont="1" applyFill="1" applyBorder="1" applyAlignment="1">
      <alignment vertical="center"/>
    </xf>
    <xf numFmtId="49" fontId="7" fillId="7" borderId="48" xfId="0" applyNumberFormat="1" applyFont="1" applyFill="1" applyBorder="1" applyAlignment="1">
      <alignment vertical="center"/>
    </xf>
    <xf numFmtId="166" fontId="7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14" fillId="2" borderId="6" xfId="0" applyFont="1" applyFill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15" fillId="9" borderId="52" xfId="0" applyFont="1" applyFill="1" applyBorder="1" applyAlignment="1">
      <alignment horizontal="left" vertical="center"/>
    </xf>
    <xf numFmtId="0" fontId="17" fillId="9" borderId="5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0" fillId="2" borderId="54" xfId="0" applyFont="1" applyFill="1" applyBorder="1" applyAlignment="1"/>
    <xf numFmtId="0" fontId="0" fillId="9" borderId="18" xfId="0" applyNumberFormat="1" applyFont="1" applyFill="1" applyBorder="1" applyAlignment="1"/>
    <xf numFmtId="0" fontId="20" fillId="2" borderId="8" xfId="0" applyFont="1" applyFill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19" fillId="0" borderId="52" xfId="0" applyFont="1" applyBorder="1" applyAlignment="1">
      <alignment horizontal="left" vertical="center" wrapText="1"/>
    </xf>
    <xf numFmtId="49" fontId="12" fillId="8" borderId="36" xfId="0" applyNumberFormat="1" applyFont="1" applyFill="1" applyBorder="1" applyAlignment="1">
      <alignment vertical="center"/>
    </xf>
    <xf numFmtId="0" fontId="7" fillId="8" borderId="37" xfId="0" applyFont="1" applyFill="1" applyBorder="1" applyAlignment="1">
      <alignment vertical="center"/>
    </xf>
    <xf numFmtId="49" fontId="18" fillId="3" borderId="53" xfId="0" applyNumberFormat="1" applyFont="1" applyFill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20" fillId="2" borderId="56" xfId="0" applyFont="1" applyFill="1" applyBorder="1" applyAlignment="1">
      <alignment horizontal="left"/>
    </xf>
    <xf numFmtId="49" fontId="21" fillId="3" borderId="53" xfId="0" applyNumberFormat="1" applyFont="1" applyFill="1" applyBorder="1" applyAlignment="1">
      <alignment horizontal="left" wrapText="1"/>
    </xf>
    <xf numFmtId="0" fontId="21" fillId="4" borderId="53" xfId="0" applyFont="1" applyFill="1" applyBorder="1" applyAlignment="1">
      <alignment horizontal="left" wrapText="1"/>
    </xf>
    <xf numFmtId="3" fontId="19" fillId="0" borderId="53" xfId="0" applyNumberFormat="1" applyFont="1" applyBorder="1" applyAlignment="1">
      <alignment horizontal="left"/>
    </xf>
    <xf numFmtId="49" fontId="20" fillId="2" borderId="53" xfId="0" applyNumberFormat="1" applyFont="1" applyFill="1" applyBorder="1" applyAlignment="1">
      <alignment horizontal="left" vertical="center" wrapText="1"/>
    </xf>
    <xf numFmtId="0" fontId="19" fillId="9" borderId="53" xfId="0" applyFont="1" applyFill="1" applyBorder="1" applyAlignment="1">
      <alignment horizontal="left" vertical="center" wrapText="1"/>
    </xf>
    <xf numFmtId="49" fontId="20" fillId="2" borderId="53" xfId="0" applyNumberFormat="1" applyFont="1" applyFill="1" applyBorder="1" applyAlignment="1">
      <alignment horizontal="left" wrapText="1"/>
    </xf>
    <xf numFmtId="0" fontId="20" fillId="2" borderId="53" xfId="0" applyFont="1" applyFill="1" applyBorder="1" applyAlignment="1">
      <alignment horizontal="left" wrapText="1"/>
    </xf>
    <xf numFmtId="0" fontId="19" fillId="9" borderId="53" xfId="0" applyFont="1" applyFill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49" fontId="20" fillId="2" borderId="53" xfId="0" applyNumberFormat="1" applyFont="1" applyFill="1" applyBorder="1" applyAlignment="1">
      <alignment horizontal="left"/>
    </xf>
    <xf numFmtId="0" fontId="20" fillId="2" borderId="53" xfId="0" applyFont="1" applyFill="1" applyBorder="1" applyAlignment="1">
      <alignment horizontal="left"/>
    </xf>
    <xf numFmtId="17" fontId="19" fillId="0" borderId="53" xfId="0" applyNumberFormat="1" applyFont="1" applyBorder="1" applyAlignment="1">
      <alignment horizontal="left"/>
    </xf>
    <xf numFmtId="49" fontId="20" fillId="2" borderId="53" xfId="0" applyNumberFormat="1" applyFont="1" applyFill="1" applyBorder="1" applyAlignment="1">
      <alignment horizontal="left"/>
    </xf>
    <xf numFmtId="0" fontId="20" fillId="2" borderId="53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/>
    </xf>
    <xf numFmtId="49" fontId="22" fillId="3" borderId="5" xfId="0" applyNumberFormat="1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/>
    </xf>
    <xf numFmtId="49" fontId="18" fillId="5" borderId="9" xfId="0" applyNumberFormat="1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49" fontId="18" fillId="3" borderId="5" xfId="0" applyNumberFormat="1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/>
    </xf>
    <xf numFmtId="3" fontId="19" fillId="0" borderId="52" xfId="0" applyNumberFormat="1" applyFont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 wrapText="1"/>
    </xf>
    <xf numFmtId="0" fontId="19" fillId="9" borderId="52" xfId="0" applyFont="1" applyFill="1" applyBorder="1" applyAlignment="1">
      <alignment horizontal="left" vertical="center"/>
    </xf>
    <xf numFmtId="3" fontId="19" fillId="9" borderId="52" xfId="0" applyNumberFormat="1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9" borderId="52" xfId="0" applyFont="1" applyFill="1" applyBorder="1" applyAlignment="1">
      <alignment horizontal="left" vertical="center"/>
    </xf>
    <xf numFmtId="1" fontId="19" fillId="0" borderId="52" xfId="0" applyNumberFormat="1" applyFont="1" applyBorder="1" applyAlignment="1">
      <alignment horizontal="left" vertical="center"/>
    </xf>
    <xf numFmtId="49" fontId="21" fillId="3" borderId="5" xfId="0" applyNumberFormat="1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3" fontId="21" fillId="3" borderId="5" xfId="0" applyNumberFormat="1" applyFont="1" applyFill="1" applyBorder="1" applyAlignment="1">
      <alignment horizontal="left" vertical="center"/>
    </xf>
    <xf numFmtId="3" fontId="20" fillId="2" borderId="8" xfId="0" applyNumberFormat="1" applyFont="1" applyFill="1" applyBorder="1" applyAlignment="1">
      <alignment horizontal="left"/>
    </xf>
    <xf numFmtId="49" fontId="18" fillId="5" borderId="11" xfId="0" applyNumberFormat="1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3" fontId="20" fillId="2" borderId="2" xfId="0" applyNumberFormat="1" applyFont="1" applyFill="1" applyBorder="1" applyAlignment="1">
      <alignment horizontal="left" vertical="center"/>
    </xf>
    <xf numFmtId="49" fontId="18" fillId="3" borderId="11" xfId="0" applyNumberFormat="1" applyFont="1" applyFill="1" applyBorder="1" applyAlignment="1">
      <alignment horizontal="left" vertical="center"/>
    </xf>
    <xf numFmtId="49" fontId="18" fillId="3" borderId="11" xfId="0" applyNumberFormat="1" applyFont="1" applyFill="1" applyBorder="1" applyAlignment="1">
      <alignment horizontal="left" vertical="center" wrapText="1"/>
    </xf>
    <xf numFmtId="3" fontId="18" fillId="3" borderId="11" xfId="0" applyNumberFormat="1" applyFont="1" applyFill="1" applyBorder="1" applyAlignment="1">
      <alignment horizontal="left" vertical="center"/>
    </xf>
    <xf numFmtId="3" fontId="25" fillId="0" borderId="51" xfId="0" applyNumberFormat="1" applyFont="1" applyBorder="1" applyAlignment="1">
      <alignment horizontal="left"/>
    </xf>
    <xf numFmtId="3" fontId="24" fillId="9" borderId="51" xfId="0" applyNumberFormat="1" applyFont="1" applyFill="1" applyBorder="1" applyAlignment="1">
      <alignment horizontal="left"/>
    </xf>
    <xf numFmtId="49" fontId="21" fillId="3" borderId="11" xfId="0" applyNumberFormat="1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3" fontId="21" fillId="3" borderId="11" xfId="0" applyNumberFormat="1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3" fontId="20" fillId="2" borderId="14" xfId="0" applyNumberFormat="1" applyFont="1" applyFill="1" applyBorder="1" applyAlignment="1">
      <alignment horizontal="left"/>
    </xf>
    <xf numFmtId="49" fontId="18" fillId="3" borderId="9" xfId="0" applyNumberFormat="1" applyFont="1" applyFill="1" applyBorder="1" applyAlignment="1">
      <alignment horizontal="left" vertical="center"/>
    </xf>
    <xf numFmtId="49" fontId="18" fillId="3" borderId="9" xfId="0" applyNumberFormat="1" applyFont="1" applyFill="1" applyBorder="1" applyAlignment="1">
      <alignment horizontal="left" vertical="center" wrapText="1"/>
    </xf>
    <xf numFmtId="3" fontId="18" fillId="3" borderId="9" xfId="0" applyNumberFormat="1" applyFont="1" applyFill="1" applyBorder="1" applyAlignment="1">
      <alignment horizontal="left" vertical="center"/>
    </xf>
    <xf numFmtId="2" fontId="19" fillId="0" borderId="52" xfId="0" applyNumberFormat="1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2" fillId="2" borderId="14" xfId="0" applyNumberFormat="1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 wrapText="1"/>
    </xf>
    <xf numFmtId="3" fontId="1" fillId="3" borderId="9" xfId="0" applyNumberFormat="1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/>
    </xf>
    <xf numFmtId="3" fontId="16" fillId="0" borderId="52" xfId="0" applyNumberFormat="1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 wrapText="1"/>
    </xf>
    <xf numFmtId="3" fontId="15" fillId="0" borderId="52" xfId="0" applyNumberFormat="1" applyFont="1" applyFill="1" applyBorder="1" applyAlignment="1">
      <alignment horizontal="left" vertical="center"/>
    </xf>
    <xf numFmtId="0" fontId="16" fillId="9" borderId="52" xfId="0" applyFont="1" applyFill="1" applyBorder="1" applyAlignment="1">
      <alignment horizontal="left" vertical="center"/>
    </xf>
    <xf numFmtId="3" fontId="15" fillId="9" borderId="52" xfId="0" applyNumberFormat="1" applyFont="1" applyFill="1" applyBorder="1" applyAlignment="1">
      <alignment horizontal="left" vertical="center"/>
    </xf>
    <xf numFmtId="3" fontId="16" fillId="9" borderId="52" xfId="0" applyNumberFormat="1" applyFont="1" applyFill="1" applyBorder="1" applyAlignment="1">
      <alignment horizontal="left" vertical="center"/>
    </xf>
    <xf numFmtId="0" fontId="15" fillId="9" borderId="52" xfId="0" applyFont="1" applyFill="1" applyBorder="1" applyAlignment="1">
      <alignment horizontal="left" vertical="center" wrapText="1"/>
    </xf>
    <xf numFmtId="167" fontId="15" fillId="9" borderId="52" xfId="0" applyNumberFormat="1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3" fontId="15" fillId="0" borderId="18" xfId="0" applyNumberFormat="1" applyFont="1" applyBorder="1" applyAlignment="1">
      <alignment horizontal="left" vertical="center"/>
    </xf>
    <xf numFmtId="164" fontId="15" fillId="9" borderId="52" xfId="0" applyNumberFormat="1" applyFont="1" applyFill="1" applyBorder="1" applyAlignment="1">
      <alignment horizontal="left" vertical="center"/>
    </xf>
    <xf numFmtId="3" fontId="15" fillId="0" borderId="52" xfId="0" applyNumberFormat="1" applyFont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3" fontId="3" fillId="3" borderId="11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3" fontId="1" fillId="3" borderId="9" xfId="0" applyNumberFormat="1" applyFont="1" applyFill="1" applyBorder="1" applyAlignment="1">
      <alignment horizontal="left" vertical="center"/>
    </xf>
    <xf numFmtId="0" fontId="15" fillId="0" borderId="51" xfId="0" applyFont="1" applyBorder="1" applyAlignment="1">
      <alignment horizontal="left" wrapText="1"/>
    </xf>
    <xf numFmtId="0" fontId="15" fillId="0" borderId="51" xfId="0" applyFont="1" applyBorder="1" applyAlignment="1">
      <alignment horizontal="left"/>
    </xf>
    <xf numFmtId="3" fontId="15" fillId="0" borderId="51" xfId="0" applyNumberFormat="1" applyFont="1" applyBorder="1" applyAlignment="1">
      <alignment horizontal="left"/>
    </xf>
    <xf numFmtId="3" fontId="15" fillId="9" borderId="51" xfId="0" applyNumberFormat="1" applyFont="1" applyFill="1" applyBorder="1" applyAlignment="1">
      <alignment horizontal="left" indent="1"/>
    </xf>
    <xf numFmtId="3" fontId="16" fillId="0" borderId="51" xfId="0" applyNumberFormat="1" applyFont="1" applyBorder="1" applyAlignment="1">
      <alignment horizontal="left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left"/>
    </xf>
    <xf numFmtId="49" fontId="1" fillId="5" borderId="22" xfId="0" applyNumberFormat="1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3" fontId="1" fillId="5" borderId="24" xfId="0" applyNumberFormat="1" applyFont="1" applyFill="1" applyBorder="1" applyAlignment="1">
      <alignment horizontal="left" vertical="center"/>
    </xf>
    <xf numFmtId="49" fontId="1" fillId="3" borderId="25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3" fontId="1" fillId="3" borderId="26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3" fontId="1" fillId="5" borderId="26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3" fontId="1" fillId="5" borderId="28" xfId="0" applyNumberFormat="1" applyFont="1" applyFill="1" applyBorder="1" applyAlignment="1">
      <alignment horizontal="left" vertical="center"/>
    </xf>
    <xf numFmtId="3" fontId="7" fillId="7" borderId="49" xfId="0" applyNumberFormat="1" applyFont="1" applyFill="1" applyBorder="1" applyAlignment="1">
      <alignment vertical="center"/>
    </xf>
    <xf numFmtId="3" fontId="7" fillId="7" borderId="5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676275</xdr:colOff>
      <xdr:row>7</xdr:row>
      <xdr:rowOff>32084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4"/>
  <sheetViews>
    <sheetView tabSelected="1" topLeftCell="B1" workbookViewId="0">
      <selection activeCell="G120" sqref="G120"/>
    </sheetView>
  </sheetViews>
  <sheetFormatPr baseColWidth="10" defaultColWidth="11.42578125" defaultRowHeight="15" x14ac:dyDescent="0.25"/>
  <cols>
    <col min="1" max="1" width="5.140625" customWidth="1"/>
    <col min="2" max="2" width="29.28515625" customWidth="1"/>
    <col min="3" max="3" width="17.7109375" customWidth="1"/>
    <col min="5" max="5" width="14.7109375" customWidth="1"/>
    <col min="7" max="7" width="14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5" customHeight="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 x14ac:dyDescent="0.25">
      <c r="A8" s="2"/>
      <c r="B8" s="52"/>
      <c r="C8" s="52"/>
      <c r="D8" s="2"/>
      <c r="E8" s="52"/>
      <c r="F8" s="52"/>
      <c r="G8" s="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48" customHeight="1" x14ac:dyDescent="0.25">
      <c r="A9" s="15"/>
      <c r="B9" s="59" t="s">
        <v>0</v>
      </c>
      <c r="C9" s="60" t="s">
        <v>1</v>
      </c>
      <c r="D9" s="61"/>
      <c r="E9" s="62" t="s">
        <v>2</v>
      </c>
      <c r="F9" s="63"/>
      <c r="G9" s="64">
        <v>115000</v>
      </c>
      <c r="H9" s="5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38.25" customHeight="1" x14ac:dyDescent="0.25">
      <c r="A10" s="15"/>
      <c r="B10" s="65" t="s">
        <v>3</v>
      </c>
      <c r="C10" s="66" t="s">
        <v>4</v>
      </c>
      <c r="D10" s="61"/>
      <c r="E10" s="67" t="s">
        <v>5</v>
      </c>
      <c r="F10" s="68"/>
      <c r="G10" s="69" t="s">
        <v>6</v>
      </c>
      <c r="H10" s="4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8" customHeight="1" x14ac:dyDescent="0.25">
      <c r="A11" s="15"/>
      <c r="B11" s="65" t="s">
        <v>7</v>
      </c>
      <c r="C11" s="70" t="s">
        <v>8</v>
      </c>
      <c r="D11" s="61"/>
      <c r="E11" s="67" t="s">
        <v>9</v>
      </c>
      <c r="F11" s="68"/>
      <c r="G11" s="64">
        <v>350</v>
      </c>
      <c r="H11" s="4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1.25" customHeight="1" x14ac:dyDescent="0.25">
      <c r="A12" s="15"/>
      <c r="B12" s="65" t="s">
        <v>10</v>
      </c>
      <c r="C12" s="70" t="s">
        <v>11</v>
      </c>
      <c r="D12" s="61"/>
      <c r="E12" s="71" t="s">
        <v>12</v>
      </c>
      <c r="F12" s="72"/>
      <c r="G12" s="64">
        <f>G9*G11</f>
        <v>40250000</v>
      </c>
      <c r="H12" s="4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1.75" customHeight="1" x14ac:dyDescent="0.25">
      <c r="A13" s="15"/>
      <c r="B13" s="65" t="s">
        <v>13</v>
      </c>
      <c r="C13" s="60" t="s">
        <v>14</v>
      </c>
      <c r="D13" s="61"/>
      <c r="E13" s="67" t="s">
        <v>15</v>
      </c>
      <c r="F13" s="68"/>
      <c r="G13" s="60" t="s">
        <v>16</v>
      </c>
      <c r="H13" s="4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 x14ac:dyDescent="0.25">
      <c r="A14" s="15"/>
      <c r="B14" s="65" t="s">
        <v>17</v>
      </c>
      <c r="C14" s="60" t="s">
        <v>18</v>
      </c>
      <c r="D14" s="61"/>
      <c r="E14" s="67" t="s">
        <v>19</v>
      </c>
      <c r="F14" s="68"/>
      <c r="G14" s="69" t="s">
        <v>6</v>
      </c>
      <c r="H14" s="4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5.5" customHeight="1" x14ac:dyDescent="0.25">
      <c r="A15" s="15"/>
      <c r="B15" s="65" t="s">
        <v>20</v>
      </c>
      <c r="C15" s="73">
        <v>44197</v>
      </c>
      <c r="D15" s="61"/>
      <c r="E15" s="74" t="s">
        <v>21</v>
      </c>
      <c r="F15" s="75"/>
      <c r="G15" s="66" t="s">
        <v>22</v>
      </c>
      <c r="H15" s="4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" customHeight="1" x14ac:dyDescent="0.25">
      <c r="A16" s="2"/>
      <c r="B16" s="76"/>
      <c r="C16" s="77"/>
      <c r="D16" s="78"/>
      <c r="E16" s="79"/>
      <c r="F16" s="79"/>
      <c r="G16" s="7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2" customHeight="1" x14ac:dyDescent="0.25">
      <c r="A17" s="4"/>
      <c r="B17" s="80" t="s">
        <v>23</v>
      </c>
      <c r="C17" s="81"/>
      <c r="D17" s="81"/>
      <c r="E17" s="81"/>
      <c r="F17" s="81"/>
      <c r="G17" s="8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2" customHeight="1" x14ac:dyDescent="0.25">
      <c r="A18" s="2"/>
      <c r="B18" s="82"/>
      <c r="C18" s="54"/>
      <c r="D18" s="54"/>
      <c r="E18" s="54"/>
      <c r="F18" s="54"/>
      <c r="G18" s="5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2" customHeight="1" x14ac:dyDescent="0.25">
      <c r="A19" s="3"/>
      <c r="B19" s="83" t="s">
        <v>24</v>
      </c>
      <c r="C19" s="84"/>
      <c r="D19" s="85"/>
      <c r="E19" s="85"/>
      <c r="F19" s="85"/>
      <c r="G19" s="8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4" customHeight="1" x14ac:dyDescent="0.25">
      <c r="A20" s="4"/>
      <c r="B20" s="86" t="s">
        <v>25</v>
      </c>
      <c r="C20" s="86" t="s">
        <v>26</v>
      </c>
      <c r="D20" s="86" t="s">
        <v>27</v>
      </c>
      <c r="E20" s="86" t="s">
        <v>28</v>
      </c>
      <c r="F20" s="86" t="s">
        <v>29</v>
      </c>
      <c r="G20" s="86" t="s">
        <v>30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4.75" customHeight="1" x14ac:dyDescent="0.25">
      <c r="A21" s="4"/>
      <c r="B21" s="87" t="s">
        <v>31</v>
      </c>
      <c r="C21" s="88"/>
      <c r="D21" s="89"/>
      <c r="E21" s="88"/>
      <c r="F21" s="90"/>
      <c r="G21" s="9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.75" customHeight="1" x14ac:dyDescent="0.25">
      <c r="A22" s="4"/>
      <c r="B22" s="91" t="s">
        <v>32</v>
      </c>
      <c r="C22" s="88" t="s">
        <v>33</v>
      </c>
      <c r="D22" s="92">
        <f>48/4</f>
        <v>12</v>
      </c>
      <c r="E22" s="92" t="s">
        <v>34</v>
      </c>
      <c r="F22" s="93">
        <v>35000</v>
      </c>
      <c r="G22" s="90">
        <f>D22*F22</f>
        <v>420000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.75" customHeight="1" x14ac:dyDescent="0.25">
      <c r="A23" s="4"/>
      <c r="B23" s="91" t="s">
        <v>35</v>
      </c>
      <c r="C23" s="88" t="s">
        <v>33</v>
      </c>
      <c r="D23" s="92">
        <f>48*2/4</f>
        <v>24</v>
      </c>
      <c r="E23" s="92" t="s">
        <v>34</v>
      </c>
      <c r="F23" s="93">
        <v>5000</v>
      </c>
      <c r="G23" s="90">
        <f t="shared" ref="G23:G24" si="0">D23*F23</f>
        <v>120000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1.75" customHeight="1" x14ac:dyDescent="0.25">
      <c r="A24" s="2"/>
      <c r="B24" s="91" t="s">
        <v>36</v>
      </c>
      <c r="C24" s="88" t="s">
        <v>33</v>
      </c>
      <c r="D24" s="92">
        <f>48</f>
        <v>48</v>
      </c>
      <c r="E24" s="92" t="s">
        <v>37</v>
      </c>
      <c r="F24" s="93">
        <v>6000</v>
      </c>
      <c r="G24" s="90">
        <f t="shared" si="0"/>
        <v>288000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2" customHeight="1" x14ac:dyDescent="0.25">
      <c r="A25" s="3"/>
      <c r="B25" s="94" t="s">
        <v>38</v>
      </c>
      <c r="C25" s="92"/>
      <c r="D25" s="92"/>
      <c r="E25" s="92"/>
      <c r="F25" s="93"/>
      <c r="G25" s="9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6.5" customHeight="1" x14ac:dyDescent="0.25">
      <c r="A26" s="3"/>
      <c r="B26" s="89" t="s">
        <v>39</v>
      </c>
      <c r="C26" s="92" t="s">
        <v>40</v>
      </c>
      <c r="D26" s="88">
        <f>1*6/2</f>
        <v>3</v>
      </c>
      <c r="E26" s="88" t="s">
        <v>37</v>
      </c>
      <c r="F26" s="90">
        <v>14000</v>
      </c>
      <c r="G26" s="90">
        <f t="shared" ref="G26" si="1">D26*F26</f>
        <v>42000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2" customHeight="1" x14ac:dyDescent="0.25">
      <c r="A27" s="3"/>
      <c r="B27" s="89" t="s">
        <v>41</v>
      </c>
      <c r="C27" s="88" t="s">
        <v>40</v>
      </c>
      <c r="D27" s="88">
        <f>2/8*4/2</f>
        <v>0.5</v>
      </c>
      <c r="E27" s="88" t="s">
        <v>37</v>
      </c>
      <c r="F27" s="90">
        <v>14000</v>
      </c>
      <c r="G27" s="90">
        <f>D27*F27</f>
        <v>7000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4" customHeight="1" x14ac:dyDescent="0.25">
      <c r="A28" s="3"/>
      <c r="B28" s="91" t="s">
        <v>42</v>
      </c>
      <c r="C28" s="88" t="s">
        <v>40</v>
      </c>
      <c r="D28" s="88">
        <v>10</v>
      </c>
      <c r="E28" s="88" t="s">
        <v>37</v>
      </c>
      <c r="F28" s="90">
        <v>15000</v>
      </c>
      <c r="G28" s="90">
        <f>D28*F28</f>
        <v>150000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" customHeight="1" x14ac:dyDescent="0.25">
      <c r="A29" s="2"/>
      <c r="B29" s="95" t="s">
        <v>43</v>
      </c>
      <c r="C29" s="92" t="s">
        <v>40</v>
      </c>
      <c r="D29" s="92">
        <v>4</v>
      </c>
      <c r="E29" s="88" t="s">
        <v>37</v>
      </c>
      <c r="F29" s="90">
        <v>14000</v>
      </c>
      <c r="G29" s="90">
        <f t="shared" ref="G29:G42" si="2">D29*F29</f>
        <v>56000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2" customHeight="1" x14ac:dyDescent="0.25">
      <c r="A30" s="3"/>
      <c r="B30" s="89" t="s">
        <v>44</v>
      </c>
      <c r="C30" s="88" t="s">
        <v>40</v>
      </c>
      <c r="D30" s="88">
        <f>0.5*4*8+0.5*2*9</f>
        <v>25</v>
      </c>
      <c r="E30" s="88" t="s">
        <v>37</v>
      </c>
      <c r="F30" s="90">
        <v>14000</v>
      </c>
      <c r="G30" s="90">
        <f t="shared" si="2"/>
        <v>350000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5.75" customHeight="1" x14ac:dyDescent="0.25">
      <c r="A31" s="3"/>
      <c r="B31" s="89" t="s">
        <v>45</v>
      </c>
      <c r="C31" s="88" t="s">
        <v>40</v>
      </c>
      <c r="D31" s="96">
        <f>1.5/8*4+3/8*6*8+3*4*4</f>
        <v>66.75</v>
      </c>
      <c r="E31" s="88" t="s">
        <v>46</v>
      </c>
      <c r="F31" s="90">
        <v>14000</v>
      </c>
      <c r="G31" s="90">
        <f t="shared" si="2"/>
        <v>934500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 x14ac:dyDescent="0.25">
      <c r="A32" s="4"/>
      <c r="B32" s="89" t="s">
        <v>47</v>
      </c>
      <c r="C32" s="88" t="s">
        <v>40</v>
      </c>
      <c r="D32" s="88">
        <v>260</v>
      </c>
      <c r="E32" s="88" t="s">
        <v>48</v>
      </c>
      <c r="F32" s="90">
        <v>14000</v>
      </c>
      <c r="G32" s="90">
        <f t="shared" si="2"/>
        <v>3640000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x14ac:dyDescent="0.25">
      <c r="A33" s="4"/>
      <c r="B33" s="89" t="s">
        <v>49</v>
      </c>
      <c r="C33" s="88" t="s">
        <v>40</v>
      </c>
      <c r="D33" s="88">
        <f>40/60/8*30*3.5</f>
        <v>8.75</v>
      </c>
      <c r="E33" s="88" t="s">
        <v>50</v>
      </c>
      <c r="F33" s="90">
        <v>14000</v>
      </c>
      <c r="G33" s="90">
        <f t="shared" si="2"/>
        <v>122500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.75" customHeight="1" x14ac:dyDescent="0.25">
      <c r="A34" s="4"/>
      <c r="B34" s="89" t="s">
        <v>51</v>
      </c>
      <c r="C34" s="88" t="s">
        <v>40</v>
      </c>
      <c r="D34" s="97">
        <v>4</v>
      </c>
      <c r="E34" s="88" t="s">
        <v>52</v>
      </c>
      <c r="F34" s="90">
        <v>14000</v>
      </c>
      <c r="G34" s="90">
        <f t="shared" si="2"/>
        <v>56000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1.75" customHeight="1" x14ac:dyDescent="0.25">
      <c r="A35" s="4"/>
      <c r="B35" s="91" t="s">
        <v>53</v>
      </c>
      <c r="C35" s="88" t="s">
        <v>40</v>
      </c>
      <c r="D35" s="96">
        <f>0.5*4*6</f>
        <v>12</v>
      </c>
      <c r="E35" s="88" t="s">
        <v>48</v>
      </c>
      <c r="F35" s="90">
        <v>14000</v>
      </c>
      <c r="G35" s="90">
        <f t="shared" si="2"/>
        <v>168000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48" customFormat="1" ht="24" customHeight="1" x14ac:dyDescent="0.25">
      <c r="A36" s="46"/>
      <c r="B36" s="91" t="s">
        <v>54</v>
      </c>
      <c r="C36" s="88" t="s">
        <v>55</v>
      </c>
      <c r="D36" s="88">
        <v>48</v>
      </c>
      <c r="E36" s="88" t="s">
        <v>56</v>
      </c>
      <c r="F36" s="90">
        <v>5000</v>
      </c>
      <c r="G36" s="90">
        <f t="shared" si="2"/>
        <v>240000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2.75" customHeight="1" x14ac:dyDescent="0.25">
      <c r="A37" s="46"/>
      <c r="B37" s="91" t="s">
        <v>57</v>
      </c>
      <c r="C37" s="88" t="s">
        <v>58</v>
      </c>
      <c r="D37" s="88">
        <v>1</v>
      </c>
      <c r="E37" s="88" t="s">
        <v>56</v>
      </c>
      <c r="F37" s="90">
        <f>400000/3.5</f>
        <v>114285.71428571429</v>
      </c>
      <c r="G37" s="90">
        <f t="shared" si="2"/>
        <v>114285.71428571429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5.75" customHeight="1" x14ac:dyDescent="0.25">
      <c r="A38" s="46"/>
      <c r="B38" s="87" t="s">
        <v>59</v>
      </c>
      <c r="C38" s="88"/>
      <c r="D38" s="88"/>
      <c r="E38" s="88"/>
      <c r="F38" s="90"/>
      <c r="G38" s="90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ht="27" customHeight="1" x14ac:dyDescent="0.25">
      <c r="A39" s="4"/>
      <c r="B39" s="91" t="s">
        <v>60</v>
      </c>
      <c r="C39" s="88" t="s">
        <v>61</v>
      </c>
      <c r="D39" s="98">
        <v>4259</v>
      </c>
      <c r="E39" s="88" t="s">
        <v>6</v>
      </c>
      <c r="F39" s="90">
        <v>200</v>
      </c>
      <c r="G39" s="90">
        <f t="shared" ref="G39" si="3">D39*F39</f>
        <v>851800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5.75" customHeight="1" x14ac:dyDescent="0.25">
      <c r="A40" s="4"/>
      <c r="B40" s="91" t="s">
        <v>62</v>
      </c>
      <c r="C40" s="88" t="s">
        <v>61</v>
      </c>
      <c r="D40" s="98">
        <f>D41/6*2</f>
        <v>2129.6296296296296</v>
      </c>
      <c r="E40" s="88" t="s">
        <v>6</v>
      </c>
      <c r="F40" s="90">
        <v>200</v>
      </c>
      <c r="G40" s="90">
        <f t="shared" si="2"/>
        <v>425925.9259259259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2.75" customHeight="1" x14ac:dyDescent="0.25">
      <c r="A41" s="4"/>
      <c r="B41" s="91" t="s">
        <v>63</v>
      </c>
      <c r="C41" s="88" t="s">
        <v>61</v>
      </c>
      <c r="D41" s="98">
        <f>G9/18</f>
        <v>6388.8888888888887</v>
      </c>
      <c r="E41" s="88" t="s">
        <v>6</v>
      </c>
      <c r="F41" s="90">
        <v>100</v>
      </c>
      <c r="G41" s="90">
        <f t="shared" si="2"/>
        <v>638888.88888888888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2.75" customHeight="1" x14ac:dyDescent="0.25">
      <c r="A42" s="4"/>
      <c r="B42" s="91" t="s">
        <v>64</v>
      </c>
      <c r="C42" s="88" t="s">
        <v>61</v>
      </c>
      <c r="D42" s="98">
        <f>G9/18</f>
        <v>6388.8888888888887</v>
      </c>
      <c r="E42" s="88" t="s">
        <v>6</v>
      </c>
      <c r="F42" s="90">
        <v>100</v>
      </c>
      <c r="G42" s="90">
        <f t="shared" si="2"/>
        <v>638888.88888888888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.75" customHeight="1" x14ac:dyDescent="0.25">
      <c r="A43" s="4"/>
      <c r="B43" s="99" t="s">
        <v>65</v>
      </c>
      <c r="C43" s="100"/>
      <c r="D43" s="100"/>
      <c r="E43" s="100"/>
      <c r="F43" s="100"/>
      <c r="G43" s="101">
        <f>SUM(G22:G42)</f>
        <v>9263789.4179894179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7.25" customHeight="1" x14ac:dyDescent="0.25">
      <c r="A44" s="4"/>
      <c r="B44" s="82"/>
      <c r="C44" s="54"/>
      <c r="D44" s="54"/>
      <c r="E44" s="54"/>
      <c r="F44" s="102"/>
      <c r="G44" s="10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2.75" customHeight="1" x14ac:dyDescent="0.25">
      <c r="A45" s="4"/>
      <c r="B45" s="103" t="s">
        <v>66</v>
      </c>
      <c r="C45" s="104"/>
      <c r="D45" s="105"/>
      <c r="E45" s="105"/>
      <c r="F45" s="105"/>
      <c r="G45" s="10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23.25" customHeight="1" x14ac:dyDescent="0.25">
      <c r="A46" s="2"/>
      <c r="B46" s="107" t="s">
        <v>25</v>
      </c>
      <c r="C46" s="108" t="s">
        <v>26</v>
      </c>
      <c r="D46" s="108" t="s">
        <v>27</v>
      </c>
      <c r="E46" s="107" t="s">
        <v>28</v>
      </c>
      <c r="F46" s="108" t="s">
        <v>29</v>
      </c>
      <c r="G46" s="109" t="s">
        <v>30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2" customHeight="1" x14ac:dyDescent="0.25">
      <c r="A47" s="3"/>
      <c r="B47" s="55"/>
      <c r="C47" s="55"/>
      <c r="D47" s="55"/>
      <c r="E47" s="55"/>
      <c r="F47" s="110"/>
      <c r="G47" s="1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4.25" customHeight="1" x14ac:dyDescent="0.25">
      <c r="A48" s="3"/>
      <c r="B48" s="112" t="s">
        <v>67</v>
      </c>
      <c r="C48" s="113"/>
      <c r="D48" s="113"/>
      <c r="E48" s="113"/>
      <c r="F48" s="113"/>
      <c r="G48" s="114"/>
      <c r="H48" s="1"/>
      <c r="I48" s="1"/>
      <c r="J48" s="1"/>
      <c r="K48" s="4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2.75" customHeight="1" x14ac:dyDescent="0.25">
      <c r="A49" s="4"/>
      <c r="B49" s="115"/>
      <c r="C49" s="116"/>
      <c r="D49" s="116"/>
      <c r="E49" s="116"/>
      <c r="F49" s="117"/>
      <c r="G49" s="117"/>
      <c r="H49" s="1"/>
      <c r="I49" s="1"/>
      <c r="J49" s="1"/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2.75" customHeight="1" x14ac:dyDescent="0.25">
      <c r="A50" s="4"/>
      <c r="B50" s="103" t="s">
        <v>68</v>
      </c>
      <c r="C50" s="104"/>
      <c r="D50" s="105"/>
      <c r="E50" s="105"/>
      <c r="F50" s="105"/>
      <c r="G50" s="10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6.25" customHeight="1" x14ac:dyDescent="0.25">
      <c r="A51" s="4"/>
      <c r="B51" s="118" t="s">
        <v>25</v>
      </c>
      <c r="C51" s="118" t="s">
        <v>26</v>
      </c>
      <c r="D51" s="118" t="s">
        <v>27</v>
      </c>
      <c r="E51" s="118" t="s">
        <v>28</v>
      </c>
      <c r="F51" s="119" t="s">
        <v>29</v>
      </c>
      <c r="G51" s="120" t="s">
        <v>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24.75" customHeight="1" x14ac:dyDescent="0.25">
      <c r="A52" s="4"/>
      <c r="B52" s="56" t="s">
        <v>69</v>
      </c>
      <c r="C52" s="88" t="s">
        <v>70</v>
      </c>
      <c r="D52" s="121">
        <v>0.125</v>
      </c>
      <c r="E52" s="88" t="s">
        <v>71</v>
      </c>
      <c r="F52" s="90">
        <v>480000</v>
      </c>
      <c r="G52" s="90">
        <f t="shared" ref="G52" si="4">D52*F52</f>
        <v>60000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2.75" customHeight="1" x14ac:dyDescent="0.25">
      <c r="A53" s="4"/>
      <c r="B53" s="112" t="s">
        <v>72</v>
      </c>
      <c r="C53" s="113"/>
      <c r="D53" s="113"/>
      <c r="E53" s="113"/>
      <c r="F53" s="113"/>
      <c r="G53" s="114">
        <f>SUM(G52:G52)</f>
        <v>60000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2.75" customHeight="1" x14ac:dyDescent="0.25">
      <c r="A54" s="4"/>
      <c r="B54" s="122"/>
      <c r="C54" s="123"/>
      <c r="D54" s="123"/>
      <c r="E54" s="123"/>
      <c r="F54" s="124"/>
      <c r="G54" s="12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2.75" customHeight="1" x14ac:dyDescent="0.25">
      <c r="A55" s="4"/>
      <c r="B55" s="125" t="s">
        <v>73</v>
      </c>
      <c r="C55" s="126"/>
      <c r="D55" s="127"/>
      <c r="E55" s="127"/>
      <c r="F55" s="127"/>
      <c r="G55" s="12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30" customHeight="1" x14ac:dyDescent="0.25">
      <c r="A56" s="4"/>
      <c r="B56" s="129" t="s">
        <v>74</v>
      </c>
      <c r="C56" s="129" t="s">
        <v>75</v>
      </c>
      <c r="D56" s="129" t="s">
        <v>76</v>
      </c>
      <c r="E56" s="129" t="s">
        <v>28</v>
      </c>
      <c r="F56" s="129" t="s">
        <v>29</v>
      </c>
      <c r="G56" s="130" t="s">
        <v>30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customHeight="1" x14ac:dyDescent="0.25">
      <c r="A57" s="4"/>
      <c r="B57" s="131" t="s">
        <v>77</v>
      </c>
      <c r="C57" s="131" t="s">
        <v>78</v>
      </c>
      <c r="D57" s="132">
        <v>32000</v>
      </c>
      <c r="E57" s="131" t="s">
        <v>37</v>
      </c>
      <c r="F57" s="131">
        <v>190</v>
      </c>
      <c r="G57" s="132">
        <f t="shared" ref="G57:G59" si="5">+F57*D57</f>
        <v>6080000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29.25" customHeight="1" x14ac:dyDescent="0.25">
      <c r="A58" s="3"/>
      <c r="B58" s="133" t="s">
        <v>79</v>
      </c>
      <c r="C58" s="131" t="s">
        <v>80</v>
      </c>
      <c r="D58" s="132">
        <v>1000</v>
      </c>
      <c r="E58" s="131" t="s">
        <v>34</v>
      </c>
      <c r="F58" s="132">
        <v>1900</v>
      </c>
      <c r="G58" s="132">
        <f>+F58*D58</f>
        <v>1900000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" customHeight="1" x14ac:dyDescent="0.25">
      <c r="A59" s="2"/>
      <c r="B59" s="131" t="s">
        <v>81</v>
      </c>
      <c r="C59" s="131" t="s">
        <v>80</v>
      </c>
      <c r="D59" s="132">
        <f>200</f>
        <v>200</v>
      </c>
      <c r="E59" s="131" t="s">
        <v>37</v>
      </c>
      <c r="F59" s="132">
        <v>2456</v>
      </c>
      <c r="G59" s="132">
        <f t="shared" si="5"/>
        <v>491200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2" customHeight="1" x14ac:dyDescent="0.25">
      <c r="A60" s="3"/>
      <c r="B60" s="131" t="s">
        <v>82</v>
      </c>
      <c r="C60" s="131" t="s">
        <v>83</v>
      </c>
      <c r="D60" s="132">
        <v>250</v>
      </c>
      <c r="E60" s="131" t="s">
        <v>37</v>
      </c>
      <c r="F60" s="134">
        <v>2674</v>
      </c>
      <c r="G60" s="132">
        <f>(+F60*D60)/2</f>
        <v>334250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2" customHeight="1" x14ac:dyDescent="0.25">
      <c r="A61" s="3"/>
      <c r="B61" s="131" t="s">
        <v>84</v>
      </c>
      <c r="C61" s="131" t="s">
        <v>85</v>
      </c>
      <c r="D61" s="132">
        <v>8000</v>
      </c>
      <c r="E61" s="131" t="s">
        <v>37</v>
      </c>
      <c r="F61" s="134">
        <f>154000/3500*1.19</f>
        <v>52.36</v>
      </c>
      <c r="G61" s="132">
        <f>+F61*D61</f>
        <v>418880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2.75" customHeight="1" x14ac:dyDescent="0.25">
      <c r="A62" s="4"/>
      <c r="B62" s="135" t="s">
        <v>86</v>
      </c>
      <c r="C62" s="135" t="s">
        <v>83</v>
      </c>
      <c r="D62" s="136">
        <f>1.8*30000/1333</f>
        <v>40.510127531882972</v>
      </c>
      <c r="E62" s="49" t="s">
        <v>87</v>
      </c>
      <c r="F62" s="136">
        <v>2624</v>
      </c>
      <c r="G62" s="137">
        <f>+F62*D62</f>
        <v>106298.57464366092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21" customHeight="1" x14ac:dyDescent="0.25">
      <c r="A63" s="3"/>
      <c r="B63" s="138" t="s">
        <v>88</v>
      </c>
      <c r="C63" s="138" t="s">
        <v>89</v>
      </c>
      <c r="D63" s="136">
        <f>2/2</f>
        <v>1</v>
      </c>
      <c r="E63" s="49" t="s">
        <v>37</v>
      </c>
      <c r="F63" s="136">
        <f>47000*1.19</f>
        <v>55930</v>
      </c>
      <c r="G63" s="136">
        <f>+F63*D63</f>
        <v>55930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2" customHeight="1" x14ac:dyDescent="0.25">
      <c r="A64" s="2"/>
      <c r="B64" s="50" t="s">
        <v>90</v>
      </c>
      <c r="C64" s="49"/>
      <c r="D64" s="136"/>
      <c r="E64" s="49"/>
      <c r="F64" s="49"/>
      <c r="G64" s="13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2" customHeight="1" x14ac:dyDescent="0.25">
      <c r="A65" s="15"/>
      <c r="B65" s="49" t="s">
        <v>91</v>
      </c>
      <c r="C65" s="49" t="s">
        <v>80</v>
      </c>
      <c r="D65" s="136">
        <v>700</v>
      </c>
      <c r="E65" s="49" t="s">
        <v>37</v>
      </c>
      <c r="F65" s="139">
        <v>820</v>
      </c>
      <c r="G65" s="136">
        <f>+D65*F65</f>
        <v>574000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2" customHeight="1" x14ac:dyDescent="0.25">
      <c r="A66" s="15"/>
      <c r="B66" s="140" t="s">
        <v>92</v>
      </c>
      <c r="C66" s="49" t="s">
        <v>80</v>
      </c>
      <c r="D66" s="136">
        <v>700</v>
      </c>
      <c r="E66" s="49" t="s">
        <v>93</v>
      </c>
      <c r="F66" s="139">
        <v>850</v>
      </c>
      <c r="G66" s="136">
        <f t="shared" ref="G66:G71" si="6">+D66*F66</f>
        <v>595000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2" customHeight="1" x14ac:dyDescent="0.25">
      <c r="A67" s="15"/>
      <c r="B67" s="140" t="s">
        <v>94</v>
      </c>
      <c r="C67" s="49" t="s">
        <v>80</v>
      </c>
      <c r="D67" s="49">
        <v>250</v>
      </c>
      <c r="E67" s="49" t="s">
        <v>93</v>
      </c>
      <c r="F67" s="139">
        <v>670</v>
      </c>
      <c r="G67" s="136">
        <f t="shared" si="6"/>
        <v>167500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2" customHeight="1" x14ac:dyDescent="0.25">
      <c r="A68" s="15"/>
      <c r="B68" s="49" t="s">
        <v>95</v>
      </c>
      <c r="C68" s="49" t="s">
        <v>80</v>
      </c>
      <c r="D68" s="49">
        <v>300</v>
      </c>
      <c r="E68" s="49" t="s">
        <v>96</v>
      </c>
      <c r="F68" s="139">
        <v>1263.9228000000003</v>
      </c>
      <c r="G68" s="136">
        <f t="shared" si="6"/>
        <v>379176.84000000008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2" customHeight="1" x14ac:dyDescent="0.25">
      <c r="A69" s="15"/>
      <c r="B69" s="49" t="s">
        <v>97</v>
      </c>
      <c r="C69" s="49" t="s">
        <v>98</v>
      </c>
      <c r="D69" s="49">
        <v>0.5</v>
      </c>
      <c r="E69" s="51" t="s">
        <v>99</v>
      </c>
      <c r="F69" s="136">
        <v>157410</v>
      </c>
      <c r="G69" s="136">
        <f t="shared" si="6"/>
        <v>78705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2" customHeight="1" x14ac:dyDescent="0.25">
      <c r="A70" s="15"/>
      <c r="B70" s="51" t="s">
        <v>100</v>
      </c>
      <c r="C70" s="49" t="s">
        <v>101</v>
      </c>
      <c r="D70" s="49">
        <v>2</v>
      </c>
      <c r="E70" s="51" t="s">
        <v>37</v>
      </c>
      <c r="F70" s="136">
        <v>106852.23999999999</v>
      </c>
      <c r="G70" s="136">
        <f t="shared" si="6"/>
        <v>213704.47999999998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2.75" customHeight="1" x14ac:dyDescent="0.25">
      <c r="A71" s="15"/>
      <c r="B71" s="49" t="s">
        <v>102</v>
      </c>
      <c r="C71" s="49" t="s">
        <v>103</v>
      </c>
      <c r="D71" s="49">
        <v>0.25</v>
      </c>
      <c r="E71" s="51" t="s">
        <v>104</v>
      </c>
      <c r="F71" s="141">
        <v>61329.267999999996</v>
      </c>
      <c r="G71" s="136">
        <f t="shared" si="6"/>
        <v>15332.316999999999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2" customHeight="1" x14ac:dyDescent="0.25">
      <c r="A72" s="15"/>
      <c r="B72" s="50" t="s">
        <v>105</v>
      </c>
      <c r="C72" s="49"/>
      <c r="D72" s="136"/>
      <c r="E72" s="49"/>
      <c r="F72" s="49"/>
      <c r="G72" s="13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2" customHeight="1" x14ac:dyDescent="0.25">
      <c r="A73" s="15"/>
      <c r="B73" s="49" t="s">
        <v>106</v>
      </c>
      <c r="C73" s="49" t="s">
        <v>103</v>
      </c>
      <c r="D73" s="49">
        <v>0.5</v>
      </c>
      <c r="E73" s="51" t="s">
        <v>99</v>
      </c>
      <c r="F73" s="136">
        <v>150394.19920000003</v>
      </c>
      <c r="G73" s="136">
        <f>+D73*F73</f>
        <v>75197.099600000016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2" customHeight="1" x14ac:dyDescent="0.25">
      <c r="A74" s="15"/>
      <c r="B74" s="49" t="s">
        <v>107</v>
      </c>
      <c r="C74" s="49" t="s">
        <v>83</v>
      </c>
      <c r="D74" s="49">
        <v>1</v>
      </c>
      <c r="E74" s="51" t="s">
        <v>99</v>
      </c>
      <c r="F74" s="136">
        <v>66772.208999999988</v>
      </c>
      <c r="G74" s="136">
        <f t="shared" ref="G74:G78" si="7">+D74*F74</f>
        <v>66772.208999999988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2" customHeight="1" x14ac:dyDescent="0.25">
      <c r="A75" s="15"/>
      <c r="B75" s="49" t="s">
        <v>108</v>
      </c>
      <c r="C75" s="49" t="s">
        <v>103</v>
      </c>
      <c r="D75" s="49">
        <v>0.25</v>
      </c>
      <c r="E75" s="51" t="s">
        <v>99</v>
      </c>
      <c r="F75" s="136">
        <v>520000</v>
      </c>
      <c r="G75" s="136">
        <f t="shared" si="7"/>
        <v>130000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2" customHeight="1" x14ac:dyDescent="0.25">
      <c r="A76" s="15"/>
      <c r="B76" s="49" t="s">
        <v>109</v>
      </c>
      <c r="C76" s="49" t="s">
        <v>103</v>
      </c>
      <c r="D76" s="49">
        <v>0.5</v>
      </c>
      <c r="E76" s="51" t="s">
        <v>99</v>
      </c>
      <c r="F76" s="136">
        <v>90000</v>
      </c>
      <c r="G76" s="136">
        <f t="shared" si="7"/>
        <v>45000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2" customHeight="1" x14ac:dyDescent="0.25">
      <c r="A77" s="15"/>
      <c r="B77" s="49" t="s">
        <v>110</v>
      </c>
      <c r="C77" s="49" t="s">
        <v>103</v>
      </c>
      <c r="D77" s="49">
        <v>1</v>
      </c>
      <c r="E77" s="51" t="s">
        <v>99</v>
      </c>
      <c r="F77" s="136">
        <v>18921</v>
      </c>
      <c r="G77" s="136">
        <f t="shared" si="7"/>
        <v>18921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2.75" customHeight="1" x14ac:dyDescent="0.25">
      <c r="A78" s="15"/>
      <c r="B78" s="49" t="s">
        <v>111</v>
      </c>
      <c r="C78" s="49" t="s">
        <v>112</v>
      </c>
      <c r="D78" s="49">
        <v>4</v>
      </c>
      <c r="E78" s="51" t="s">
        <v>99</v>
      </c>
      <c r="F78" s="136">
        <v>16193.8532</v>
      </c>
      <c r="G78" s="136">
        <f t="shared" si="7"/>
        <v>64775.412799999998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2.75" customHeight="1" x14ac:dyDescent="0.25">
      <c r="A79" s="15"/>
      <c r="B79" s="50" t="s">
        <v>113</v>
      </c>
      <c r="C79" s="49"/>
      <c r="D79" s="49"/>
      <c r="E79" s="51"/>
      <c r="F79" s="136"/>
      <c r="G79" s="1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5" customHeight="1" x14ac:dyDescent="0.25">
      <c r="A80" s="15"/>
      <c r="B80" s="49" t="s">
        <v>114</v>
      </c>
      <c r="C80" s="49" t="s">
        <v>115</v>
      </c>
      <c r="D80" s="142">
        <v>5</v>
      </c>
      <c r="E80" s="49" t="s">
        <v>37</v>
      </c>
      <c r="F80" s="136">
        <v>30000</v>
      </c>
      <c r="G80" s="136">
        <f>+D80*F80</f>
        <v>150000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2" customHeight="1" x14ac:dyDescent="0.25">
      <c r="A81" s="15"/>
      <c r="B81" s="49" t="s">
        <v>116</v>
      </c>
      <c r="C81" s="49" t="s">
        <v>117</v>
      </c>
      <c r="D81" s="49">
        <v>0.5</v>
      </c>
      <c r="E81" s="51" t="s">
        <v>37</v>
      </c>
      <c r="F81" s="143">
        <v>59984.61559999999</v>
      </c>
      <c r="G81" s="136">
        <f t="shared" ref="G81:G86" si="8">+D81*F81</f>
        <v>29992.307799999995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2" customHeight="1" x14ac:dyDescent="0.25">
      <c r="A82" s="15"/>
      <c r="B82" s="51" t="s">
        <v>118</v>
      </c>
      <c r="C82" s="51" t="s">
        <v>80</v>
      </c>
      <c r="D82" s="51">
        <v>1</v>
      </c>
      <c r="E82" s="51" t="s">
        <v>99</v>
      </c>
      <c r="F82" s="143">
        <v>148066.91620000001</v>
      </c>
      <c r="G82" s="136">
        <f t="shared" si="8"/>
        <v>148066.91620000001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2" customHeight="1" x14ac:dyDescent="0.25">
      <c r="A83" s="15"/>
      <c r="B83" s="51" t="s">
        <v>119</v>
      </c>
      <c r="C83" s="49" t="s">
        <v>117</v>
      </c>
      <c r="D83" s="51">
        <v>1</v>
      </c>
      <c r="E83" s="51" t="s">
        <v>99</v>
      </c>
      <c r="F83" s="143">
        <v>77000</v>
      </c>
      <c r="G83" s="136">
        <f t="shared" si="8"/>
        <v>77000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2" customHeight="1" x14ac:dyDescent="0.25">
      <c r="A84" s="15"/>
      <c r="B84" s="49" t="s">
        <v>120</v>
      </c>
      <c r="C84" s="49" t="s">
        <v>80</v>
      </c>
      <c r="D84" s="49">
        <v>1</v>
      </c>
      <c r="E84" s="51" t="s">
        <v>99</v>
      </c>
      <c r="F84" s="143">
        <v>181477.61799999996</v>
      </c>
      <c r="G84" s="136">
        <f t="shared" si="8"/>
        <v>181477.61799999996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2" customHeight="1" x14ac:dyDescent="0.25">
      <c r="A85" s="15"/>
      <c r="B85" s="49" t="s">
        <v>121</v>
      </c>
      <c r="C85" s="49" t="s">
        <v>83</v>
      </c>
      <c r="D85" s="49">
        <v>1</v>
      </c>
      <c r="E85" s="51" t="s">
        <v>99</v>
      </c>
      <c r="F85" s="136">
        <v>28810.375999999997</v>
      </c>
      <c r="G85" s="136">
        <f t="shared" si="8"/>
        <v>28810.375999999997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2" customHeight="1" x14ac:dyDescent="0.25">
      <c r="A86" s="15"/>
      <c r="B86" s="49" t="s">
        <v>122</v>
      </c>
      <c r="C86" s="49" t="s">
        <v>117</v>
      </c>
      <c r="D86" s="49">
        <v>1</v>
      </c>
      <c r="E86" s="51" t="s">
        <v>99</v>
      </c>
      <c r="F86" s="136">
        <v>56441.343000000001</v>
      </c>
      <c r="G86" s="136">
        <f t="shared" si="8"/>
        <v>56441.343000000001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2" customHeight="1" x14ac:dyDescent="0.25">
      <c r="A87" s="15"/>
      <c r="B87" s="144" t="s">
        <v>123</v>
      </c>
      <c r="C87" s="145"/>
      <c r="D87" s="145"/>
      <c r="E87" s="145"/>
      <c r="F87" s="145"/>
      <c r="G87" s="146">
        <f>SUM(G57:G86)</f>
        <v>12482431.494043663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2.75" customHeight="1" x14ac:dyDescent="0.25">
      <c r="A88" s="15"/>
      <c r="B88" s="122"/>
      <c r="C88" s="123"/>
      <c r="D88" s="123"/>
      <c r="E88" s="123"/>
      <c r="F88" s="124"/>
      <c r="G88" s="12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2" customHeight="1" x14ac:dyDescent="0.25">
      <c r="A89" s="15"/>
      <c r="B89" s="125" t="s">
        <v>124</v>
      </c>
      <c r="C89" s="126"/>
      <c r="D89" s="127"/>
      <c r="E89" s="127"/>
      <c r="F89" s="127"/>
      <c r="G89" s="12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30" customHeight="1" x14ac:dyDescent="0.25">
      <c r="A90" s="15"/>
      <c r="B90" s="147" t="s">
        <v>125</v>
      </c>
      <c r="C90" s="129" t="s">
        <v>75</v>
      </c>
      <c r="D90" s="129" t="s">
        <v>76</v>
      </c>
      <c r="E90" s="147" t="s">
        <v>28</v>
      </c>
      <c r="F90" s="129" t="s">
        <v>29</v>
      </c>
      <c r="G90" s="148" t="s">
        <v>30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2" customHeight="1" x14ac:dyDescent="0.25">
      <c r="A91" s="5"/>
      <c r="B91" s="149" t="s">
        <v>126</v>
      </c>
      <c r="C91" s="150" t="s">
        <v>127</v>
      </c>
      <c r="D91" s="151">
        <v>120</v>
      </c>
      <c r="E91" s="150" t="s">
        <v>34</v>
      </c>
      <c r="F91" s="152">
        <v>700</v>
      </c>
      <c r="G91" s="153">
        <f>+D91*F91</f>
        <v>84000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x14ac:dyDescent="0.25">
      <c r="B92" s="154" t="s">
        <v>128</v>
      </c>
      <c r="C92" s="155"/>
      <c r="D92" s="155"/>
      <c r="E92" s="155"/>
      <c r="F92" s="155"/>
      <c r="G92" s="156">
        <f>SUM(G91:G91)</f>
        <v>84000</v>
      </c>
    </row>
    <row r="93" spans="1:255" x14ac:dyDescent="0.25">
      <c r="B93" s="157"/>
      <c r="C93" s="157"/>
      <c r="D93" s="157"/>
      <c r="E93" s="157"/>
      <c r="F93" s="158"/>
      <c r="G93" s="158"/>
    </row>
    <row r="94" spans="1:255" x14ac:dyDescent="0.25">
      <c r="B94" s="159" t="s">
        <v>129</v>
      </c>
      <c r="C94" s="160"/>
      <c r="D94" s="160"/>
      <c r="E94" s="160"/>
      <c r="F94" s="160"/>
      <c r="G94" s="161">
        <f>+G43+G48+G53+G87+G92</f>
        <v>21890220.912033081</v>
      </c>
    </row>
    <row r="95" spans="1:255" x14ac:dyDescent="0.25">
      <c r="B95" s="162" t="s">
        <v>130</v>
      </c>
      <c r="C95" s="163"/>
      <c r="D95" s="163"/>
      <c r="E95" s="163"/>
      <c r="F95" s="163"/>
      <c r="G95" s="164">
        <f>G94*0.05</f>
        <v>1094511.0456016541</v>
      </c>
    </row>
    <row r="96" spans="1:255" x14ac:dyDescent="0.25">
      <c r="B96" s="165" t="s">
        <v>131</v>
      </c>
      <c r="C96" s="166"/>
      <c r="D96" s="166"/>
      <c r="E96" s="166"/>
      <c r="F96" s="166"/>
      <c r="G96" s="167">
        <f>G95+G94</f>
        <v>22984731.957634736</v>
      </c>
    </row>
    <row r="97" spans="2:7" x14ac:dyDescent="0.25">
      <c r="B97" s="162" t="s">
        <v>132</v>
      </c>
      <c r="C97" s="163"/>
      <c r="D97" s="163"/>
      <c r="E97" s="163"/>
      <c r="F97" s="163"/>
      <c r="G97" s="164">
        <f>G12</f>
        <v>40250000</v>
      </c>
    </row>
    <row r="98" spans="2:7" x14ac:dyDescent="0.25">
      <c r="B98" s="168" t="s">
        <v>133</v>
      </c>
      <c r="C98" s="169"/>
      <c r="D98" s="169"/>
      <c r="E98" s="169"/>
      <c r="F98" s="169"/>
      <c r="G98" s="170">
        <f>G97-G96</f>
        <v>17265268.042365264</v>
      </c>
    </row>
    <row r="99" spans="2:7" x14ac:dyDescent="0.25">
      <c r="B99" s="16" t="s">
        <v>134</v>
      </c>
      <c r="C99" s="17"/>
      <c r="D99" s="17"/>
      <c r="E99" s="17"/>
      <c r="F99" s="17"/>
      <c r="G99" s="12"/>
    </row>
    <row r="100" spans="2:7" ht="15.75" thickBot="1" x14ac:dyDescent="0.3">
      <c r="B100" s="18"/>
      <c r="C100" s="17"/>
      <c r="D100" s="17"/>
      <c r="E100" s="17"/>
      <c r="F100" s="17"/>
      <c r="G100" s="12"/>
    </row>
    <row r="101" spans="2:7" x14ac:dyDescent="0.25">
      <c r="B101" s="30" t="s">
        <v>135</v>
      </c>
      <c r="C101" s="31"/>
      <c r="D101" s="31"/>
      <c r="E101" s="31"/>
      <c r="F101" s="32"/>
      <c r="G101" s="12"/>
    </row>
    <row r="102" spans="2:7" x14ac:dyDescent="0.25">
      <c r="B102" s="33" t="s">
        <v>136</v>
      </c>
      <c r="C102" s="14"/>
      <c r="D102" s="14"/>
      <c r="E102" s="14"/>
      <c r="F102" s="34"/>
      <c r="G102" s="12"/>
    </row>
    <row r="103" spans="2:7" x14ac:dyDescent="0.25">
      <c r="B103" s="33" t="s">
        <v>137</v>
      </c>
      <c r="C103" s="14"/>
      <c r="D103" s="14"/>
      <c r="E103" s="14"/>
      <c r="F103" s="34"/>
      <c r="G103" s="12"/>
    </row>
    <row r="104" spans="2:7" x14ac:dyDescent="0.25">
      <c r="B104" s="33" t="s">
        <v>138</v>
      </c>
      <c r="C104" s="14"/>
      <c r="D104" s="14"/>
      <c r="E104" s="14"/>
      <c r="F104" s="34"/>
      <c r="G104" s="12"/>
    </row>
    <row r="105" spans="2:7" x14ac:dyDescent="0.25">
      <c r="B105" s="33" t="s">
        <v>139</v>
      </c>
      <c r="C105" s="14"/>
      <c r="D105" s="14"/>
      <c r="E105" s="14"/>
      <c r="F105" s="34"/>
      <c r="G105" s="12"/>
    </row>
    <row r="106" spans="2:7" x14ac:dyDescent="0.25">
      <c r="B106" s="33" t="s">
        <v>140</v>
      </c>
      <c r="C106" s="14"/>
      <c r="D106" s="14"/>
      <c r="E106" s="14"/>
      <c r="F106" s="34"/>
      <c r="G106" s="12"/>
    </row>
    <row r="107" spans="2:7" ht="15.75" thickBot="1" x14ac:dyDescent="0.3">
      <c r="B107" s="35" t="s">
        <v>141</v>
      </c>
      <c r="C107" s="36"/>
      <c r="D107" s="36"/>
      <c r="E107" s="36"/>
      <c r="F107" s="37"/>
      <c r="G107" s="12"/>
    </row>
    <row r="108" spans="2:7" x14ac:dyDescent="0.25">
      <c r="B108" s="28"/>
      <c r="C108" s="14"/>
      <c r="D108" s="14"/>
      <c r="E108" s="14"/>
      <c r="F108" s="14"/>
      <c r="G108" s="12"/>
    </row>
    <row r="109" spans="2:7" ht="15.75" thickBot="1" x14ac:dyDescent="0.3">
      <c r="B109" s="57" t="s">
        <v>142</v>
      </c>
      <c r="C109" s="58"/>
      <c r="D109" s="27"/>
      <c r="E109" s="6"/>
      <c r="F109" s="6"/>
      <c r="G109" s="12"/>
    </row>
    <row r="110" spans="2:7" x14ac:dyDescent="0.25">
      <c r="B110" s="20" t="s">
        <v>125</v>
      </c>
      <c r="C110" s="7" t="s">
        <v>143</v>
      </c>
      <c r="D110" s="21" t="s">
        <v>144</v>
      </c>
      <c r="E110" s="6"/>
      <c r="F110" s="6"/>
      <c r="G110" s="12"/>
    </row>
    <row r="111" spans="2:7" x14ac:dyDescent="0.25">
      <c r="B111" s="22" t="s">
        <v>145</v>
      </c>
      <c r="C111" s="8">
        <f>+G43</f>
        <v>9263789.4179894179</v>
      </c>
      <c r="D111" s="23">
        <f>(C111/C117)</f>
        <v>0.40304100283024213</v>
      </c>
      <c r="E111" s="6"/>
      <c r="F111" s="6"/>
      <c r="G111" s="12"/>
    </row>
    <row r="112" spans="2:7" x14ac:dyDescent="0.25">
      <c r="B112" s="22" t="s">
        <v>146</v>
      </c>
      <c r="C112" s="8">
        <f>+G48</f>
        <v>0</v>
      </c>
      <c r="D112" s="23">
        <v>0</v>
      </c>
      <c r="E112" s="6"/>
      <c r="F112" s="6"/>
      <c r="G112" s="12"/>
    </row>
    <row r="113" spans="2:7" x14ac:dyDescent="0.25">
      <c r="B113" s="22" t="s">
        <v>147</v>
      </c>
      <c r="C113" s="8">
        <f>+G53</f>
        <v>60000</v>
      </c>
      <c r="D113" s="23">
        <f>(C113/C117)</f>
        <v>2.6104285275369535E-3</v>
      </c>
      <c r="E113" s="6"/>
      <c r="F113" s="6"/>
      <c r="G113" s="12"/>
    </row>
    <row r="114" spans="2:7" x14ac:dyDescent="0.25">
      <c r="B114" s="22" t="s">
        <v>74</v>
      </c>
      <c r="C114" s="8">
        <f>+G87</f>
        <v>12482431.494043663</v>
      </c>
      <c r="D114" s="23">
        <f>(C114/C117)</f>
        <v>0.54307492108462152</v>
      </c>
      <c r="E114" s="6"/>
      <c r="F114" s="6"/>
      <c r="G114" s="12"/>
    </row>
    <row r="115" spans="2:7" x14ac:dyDescent="0.25">
      <c r="B115" s="22" t="s">
        <v>148</v>
      </c>
      <c r="C115" s="9">
        <f>+G92</f>
        <v>84000</v>
      </c>
      <c r="D115" s="23">
        <f>(C115/C117)</f>
        <v>3.6545999385517347E-3</v>
      </c>
      <c r="E115" s="11"/>
      <c r="F115" s="11"/>
      <c r="G115" s="12"/>
    </row>
    <row r="116" spans="2:7" x14ac:dyDescent="0.25">
      <c r="B116" s="22" t="s">
        <v>149</v>
      </c>
      <c r="C116" s="9">
        <f>+G95</f>
        <v>1094511.0456016541</v>
      </c>
      <c r="D116" s="23">
        <f>(C116/C117)</f>
        <v>4.7619047619047616E-2</v>
      </c>
      <c r="E116" s="11"/>
      <c r="F116" s="11"/>
      <c r="G116" s="12"/>
    </row>
    <row r="117" spans="2:7" ht="15.75" thickBot="1" x14ac:dyDescent="0.3">
      <c r="B117" s="24" t="s">
        <v>150</v>
      </c>
      <c r="C117" s="25">
        <f>SUM(C111:C116)</f>
        <v>22984731.957634736</v>
      </c>
      <c r="D117" s="26">
        <f>SUM(D111:D116)</f>
        <v>1</v>
      </c>
      <c r="E117" s="11"/>
      <c r="F117" s="11"/>
      <c r="G117" s="12"/>
    </row>
    <row r="118" spans="2:7" x14ac:dyDescent="0.25">
      <c r="B118" s="18"/>
      <c r="C118" s="17"/>
      <c r="D118" s="17"/>
      <c r="E118" s="17"/>
      <c r="F118" s="17"/>
      <c r="G118" s="12"/>
    </row>
    <row r="119" spans="2:7" x14ac:dyDescent="0.25">
      <c r="B119" s="19"/>
      <c r="C119" s="17"/>
      <c r="D119" s="17"/>
      <c r="E119" s="17"/>
      <c r="F119" s="17"/>
      <c r="G119" s="12"/>
    </row>
    <row r="120" spans="2:7" ht="15.75" thickBot="1" x14ac:dyDescent="0.3">
      <c r="B120" s="39"/>
      <c r="C120" s="40" t="s">
        <v>151</v>
      </c>
      <c r="D120" s="41"/>
      <c r="E120" s="42"/>
      <c r="F120" s="10"/>
      <c r="G120" s="12"/>
    </row>
    <row r="121" spans="2:7" x14ac:dyDescent="0.25">
      <c r="B121" s="43" t="s">
        <v>152</v>
      </c>
      <c r="C121" s="171">
        <v>110000</v>
      </c>
      <c r="D121" s="171">
        <v>115000</v>
      </c>
      <c r="E121" s="172">
        <v>120000</v>
      </c>
      <c r="F121" s="38"/>
      <c r="G121" s="13"/>
    </row>
    <row r="122" spans="2:7" ht="15.75" thickBot="1" x14ac:dyDescent="0.3">
      <c r="B122" s="24" t="s">
        <v>153</v>
      </c>
      <c r="C122" s="25">
        <f>(G96/C121)</f>
        <v>208.95210870577031</v>
      </c>
      <c r="D122" s="25">
        <f>(G96/D121)</f>
        <v>199.86723441421509</v>
      </c>
      <c r="E122" s="44">
        <f>(G96/E121)</f>
        <v>191.53943298028946</v>
      </c>
      <c r="F122" s="38"/>
      <c r="G122" s="13"/>
    </row>
    <row r="123" spans="2:7" x14ac:dyDescent="0.25">
      <c r="B123" s="29" t="s">
        <v>154</v>
      </c>
      <c r="C123" s="14"/>
      <c r="D123" s="14"/>
      <c r="E123" s="14"/>
      <c r="F123" s="14"/>
      <c r="G123" s="14"/>
    </row>
    <row r="124" spans="2:7" x14ac:dyDescent="0.25">
      <c r="B124" s="1"/>
      <c r="C124" s="1"/>
      <c r="D124" s="1"/>
      <c r="E124" s="1"/>
      <c r="F124" s="1"/>
      <c r="G124" s="1"/>
    </row>
  </sheetData>
  <mergeCells count="8">
    <mergeCell ref="B17:G17"/>
    <mergeCell ref="B109:C10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2021-03-31T15:49:58Z</dcterms:modified>
  <cp:category/>
  <cp:contentStatus/>
</cp:coreProperties>
</file>