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TOMATE TRAS TOMATE INVERNADERO" sheetId="1" r:id="rId1"/>
  </sheets>
  <definedNames>
    <definedName name="_xlnm.Print_Area" localSheetId="0">'TOMATE TRAS TOMATE INVERNADERO'!$A$1:$G$124</definedName>
  </definedNames>
  <calcPr calcId="152511" iterateDelta="1E-4"/>
</workbook>
</file>

<file path=xl/calcChain.xml><?xml version="1.0" encoding="utf-8"?>
<calcChain xmlns="http://schemas.openxmlformats.org/spreadsheetml/2006/main">
  <c r="F60" i="1" l="1"/>
  <c r="D54" i="1" l="1"/>
  <c r="D53" i="1"/>
  <c r="D61" i="1" l="1"/>
  <c r="G55" i="1"/>
  <c r="G11" i="1" l="1"/>
  <c r="G97" i="1" s="1"/>
  <c r="F72" i="1" l="1"/>
  <c r="D71" i="1"/>
  <c r="F70" i="1"/>
  <c r="C113" i="1" l="1"/>
  <c r="G89" i="1" l="1"/>
  <c r="D88" i="1"/>
  <c r="G88" i="1" s="1"/>
  <c r="F83" i="1" l="1"/>
  <c r="G83" i="1" s="1"/>
  <c r="F82" i="1"/>
  <c r="G82" i="1" s="1"/>
  <c r="G81" i="1"/>
  <c r="G80" i="1"/>
  <c r="G79" i="1"/>
  <c r="G78" i="1"/>
  <c r="G77" i="1"/>
  <c r="G76" i="1"/>
  <c r="D91" i="1"/>
  <c r="F90" i="1"/>
  <c r="G90" i="1" s="1"/>
  <c r="D57" i="1"/>
  <c r="G57" i="1" s="1"/>
  <c r="G91" i="1" l="1"/>
  <c r="G92" i="1" l="1"/>
  <c r="C116" i="1" s="1"/>
  <c r="G54" i="1"/>
  <c r="F53" i="1"/>
  <c r="G52" i="1" l="1"/>
  <c r="G53" i="1"/>
  <c r="G47" i="1"/>
  <c r="G48" i="1" s="1"/>
  <c r="C114" i="1" l="1"/>
  <c r="G74" i="1"/>
  <c r="G73" i="1"/>
  <c r="G72" i="1"/>
  <c r="G71" i="1"/>
  <c r="G70" i="1"/>
  <c r="G69" i="1"/>
  <c r="G61" i="1"/>
  <c r="G67" i="1"/>
  <c r="F66" i="1"/>
  <c r="G66" i="1" s="1"/>
  <c r="G65" i="1"/>
  <c r="G64" i="1"/>
  <c r="G63" i="1"/>
  <c r="G62" i="1"/>
  <c r="D60" i="1"/>
  <c r="D59" i="1"/>
  <c r="G59" i="1" s="1"/>
  <c r="G60" i="1" l="1"/>
  <c r="G84" i="1" s="1"/>
  <c r="G37" i="1"/>
  <c r="G35" i="1"/>
  <c r="G34" i="1"/>
  <c r="D33" i="1"/>
  <c r="G33" i="1" s="1"/>
  <c r="G30" i="1"/>
  <c r="C115" i="1" l="1"/>
  <c r="D32" i="1"/>
  <c r="G32" i="1" s="1"/>
  <c r="D31" i="1"/>
  <c r="G31" i="1" s="1"/>
  <c r="G29" i="1"/>
  <c r="G28" i="1"/>
  <c r="G27" i="1"/>
  <c r="G26" i="1"/>
  <c r="D25" i="1"/>
  <c r="G25" i="1" s="1"/>
  <c r="D24" i="1"/>
  <c r="G24" i="1" s="1"/>
  <c r="D23" i="1"/>
  <c r="G23" i="1" s="1"/>
  <c r="G21" i="1" l="1"/>
  <c r="G38" i="1" l="1"/>
  <c r="C112" i="1" l="1"/>
  <c r="G94" i="1"/>
  <c r="G95" i="1" s="1"/>
  <c r="C117" i="1" l="1"/>
  <c r="C118" i="1" s="1"/>
  <c r="D112" i="1" s="1"/>
  <c r="G96" i="1"/>
  <c r="D117" i="1" l="1"/>
  <c r="D123" i="1"/>
  <c r="C123" i="1"/>
  <c r="E123" i="1"/>
  <c r="G98" i="1"/>
  <c r="D115" i="1"/>
  <c r="D114" i="1"/>
  <c r="D116" i="1"/>
  <c r="D118" i="1" l="1"/>
</calcChain>
</file>

<file path=xl/comments1.xml><?xml version="1.0" encoding="utf-8"?>
<comments xmlns="http://schemas.openxmlformats.org/spreadsheetml/2006/main">
  <authors>
    <author>Lafferte Aguilar Rubén Eduardo</author>
    <author>Allendes Consultora</author>
  </authors>
  <commentList>
    <comment ref="G52" authorId="0" shapeId="0">
      <text>
        <r>
          <rPr>
            <sz val="9"/>
            <color indexed="81"/>
            <rFont val="Tahoma"/>
            <family val="2"/>
          </rPr>
          <t xml:space="preserve">Dos cultivos, Mulch dura el periodod de dos cultivos.
</t>
        </r>
      </text>
    </comment>
    <comment ref="F57" authorId="1" shapeId="0">
      <text>
        <r>
          <rPr>
            <b/>
            <sz val="9"/>
            <color indexed="81"/>
            <rFont val="Tahoma"/>
            <family val="2"/>
          </rPr>
          <t>valores don enrique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Allendes Consultora:</t>
        </r>
        <r>
          <rPr>
            <sz val="9"/>
            <color indexed="81"/>
            <rFont val="Tahoma"/>
            <family val="2"/>
          </rPr>
          <t xml:space="preserve">
don hernan averiguara $$$
</t>
        </r>
      </text>
    </comment>
  </commentList>
</comments>
</file>

<file path=xl/sharedStrings.xml><?xml version="1.0" encoding="utf-8"?>
<sst xmlns="http://schemas.openxmlformats.org/spreadsheetml/2006/main" count="244" uniqueCount="153">
  <si>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</si>
  <si>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</si>
  <si>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</si>
  <si>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</si>
  <si>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</si>
  <si>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</si>
  <si>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</si>
  <si>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</si>
  <si>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</si>
  <si>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</si>
  <si>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</si>
  <si>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</si>
  <si>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</si>
  <si>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</si>
  <si>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</si>
  <si>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</si>
  <si>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</si>
  <si>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</si>
  <si>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</si>
  <si>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</si>
  <si>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</si>
  <si>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</si>
  <si>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</si>
  <si>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</si>
  <si>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</si>
  <si>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</si>
  <si>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</si>
  <si>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</si>
  <si>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</si>
  <si>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</si>
  <si>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</si>
  <si>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</si>
  <si>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</si>
  <si>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</si>
  <si>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</si>
  <si>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</si>
  <si>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</si>
  <si>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</si>
  <si>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</si>
  <si>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</si>
  <si>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</si>
  <si>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</si>
  <si>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</si>
  <si>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</si>
  <si>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</si>
  <si>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</si>
  <si>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</si>
  <si>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</si>
  <si>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</si>
  <si>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</si>
  <si>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</si>
  <si>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</si>
  <si>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</si>
  <si>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</si>
  <si>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</si>
  <si>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Valparaiso</t>
  </si>
  <si>
    <t>Mercado Mayorista</t>
  </si>
  <si>
    <t>RENDIMIENTO (kg/Há.)</t>
  </si>
  <si>
    <t xml:space="preserve">MANO DE OBRA </t>
  </si>
  <si>
    <t xml:space="preserve">Desparramar guano </t>
  </si>
  <si>
    <t xml:space="preserve">Poner cintas </t>
  </si>
  <si>
    <t>Fertilización de fondo</t>
  </si>
  <si>
    <t>Julio</t>
  </si>
  <si>
    <t>Transplante plantines</t>
  </si>
  <si>
    <t xml:space="preserve">Tumbar plantas hacia cada lado </t>
  </si>
  <si>
    <t>Arreglo de racimo</t>
  </si>
  <si>
    <t xml:space="preserve">Despeje de racimos </t>
  </si>
  <si>
    <t xml:space="preserve">Aplicación Fitosanitarios </t>
  </si>
  <si>
    <t>Fertirriego</t>
  </si>
  <si>
    <t>Jul-Dic</t>
  </si>
  <si>
    <t>Limpieza pasillos</t>
  </si>
  <si>
    <t>Arranca de plantas y raspado de pasillos</t>
  </si>
  <si>
    <t>Eliminación de rastrojo</t>
  </si>
  <si>
    <t>Guano ave descompuesto</t>
  </si>
  <si>
    <t>m3</t>
  </si>
  <si>
    <t>Mezcla 17-20-20</t>
  </si>
  <si>
    <t>Nitrato de potasio soluble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</si>
  <si>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</si>
  <si>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</si>
  <si>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</si>
  <si>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</si>
  <si>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</si>
  <si>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 xml:space="preserve">Acido fosforico </t>
  </si>
  <si>
    <t>Evisect</t>
  </si>
  <si>
    <t>Applaud</t>
  </si>
  <si>
    <t>Confidor Forte</t>
  </si>
  <si>
    <t xml:space="preserve">Preparación de suelo (Tiller+ mesero) </t>
  </si>
  <si>
    <t>metro lineal</t>
  </si>
  <si>
    <t>Mulch negro-blanco 1,2 m x 0,02 mic x 1000 metros</t>
  </si>
  <si>
    <t>Cinta de riego 20 cm</t>
  </si>
  <si>
    <t>Cinta garetta</t>
  </si>
  <si>
    <t>Octubre</t>
  </si>
  <si>
    <t>u</t>
  </si>
  <si>
    <t>Abejorros</t>
  </si>
  <si>
    <t>colmena</t>
  </si>
  <si>
    <t xml:space="preserve">Tiras pegajosas adhesivas amarillas </t>
  </si>
  <si>
    <t>rollo 30 cm x 100 m</t>
  </si>
  <si>
    <t>Coragen</t>
  </si>
  <si>
    <t>Previcur Energy</t>
  </si>
  <si>
    <t>Bellis</t>
  </si>
  <si>
    <t>Luna Experience</t>
  </si>
  <si>
    <t>Goldazim</t>
  </si>
  <si>
    <t>Switch</t>
  </si>
  <si>
    <t>Benomil</t>
  </si>
  <si>
    <t>Azufre mojable</t>
  </si>
  <si>
    <t>Mastercop</t>
  </si>
  <si>
    <t>Gamelas cosecheras</t>
  </si>
  <si>
    <t>Energia electrica</t>
  </si>
  <si>
    <t>Global</t>
  </si>
  <si>
    <t>Rendimiento (kg/hà)</t>
  </si>
  <si>
    <t xml:space="preserve">PLANTINES  </t>
  </si>
  <si>
    <t xml:space="preserve">FUNGICIDAS </t>
  </si>
  <si>
    <t xml:space="preserve"> Kg</t>
  </si>
  <si>
    <t>Tomate parrón</t>
  </si>
  <si>
    <t>Cosecha, selección y embalaje</t>
  </si>
  <si>
    <t xml:space="preserve"> Instalación de cubiertas malla </t>
  </si>
  <si>
    <t>septiembre</t>
  </si>
  <si>
    <t>agosto</t>
  </si>
  <si>
    <t>octubre</t>
  </si>
  <si>
    <t>noviembre</t>
  </si>
  <si>
    <t>dic-feb</t>
  </si>
  <si>
    <t>oct-marzo</t>
  </si>
  <si>
    <t>abril</t>
  </si>
  <si>
    <t>feb-abril</t>
  </si>
  <si>
    <t>sequia y lluvias de verano</t>
  </si>
  <si>
    <t>Malla antiafio</t>
  </si>
  <si>
    <t>m2</t>
  </si>
  <si>
    <t>Plantines tomate 888 o antumay  injertado con Emperador</t>
  </si>
  <si>
    <t>oct-abril</t>
  </si>
  <si>
    <t>febrero</t>
  </si>
  <si>
    <t>diciembre</t>
  </si>
  <si>
    <t>Azira</t>
  </si>
  <si>
    <t>Mospilam</t>
  </si>
  <si>
    <t>888, patrón, antumay</t>
  </si>
  <si>
    <t>Preparación de parrón</t>
  </si>
  <si>
    <t>Conducción, poda, amarra,raleo</t>
  </si>
  <si>
    <t>N° de unidad</t>
  </si>
  <si>
    <t xml:space="preserve">Cantidad </t>
  </si>
  <si>
    <t xml:space="preserve">Unidad </t>
  </si>
  <si>
    <t>Quillota</t>
  </si>
  <si>
    <t>Notas: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</si>
  <si>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</si>
  <si>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</si>
  <si>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ESCENARIOS COSTO UNITARIO  ($/kg)</t>
  </si>
  <si>
    <t xml:space="preserve">7. La malla antiáfidos se amortiza en 4 cultivos y la cinta de riego en 2 </t>
  </si>
  <si>
    <t>Ítem</t>
  </si>
  <si>
    <t>(*): Este valor representa el valor mínimo de venta del producto</t>
  </si>
  <si>
    <t>Costo unitario ($/kg) (*)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</si>
  <si>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</si>
  <si>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</si>
  <si>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JM</t>
  </si>
  <si>
    <t>Labores del cultivo</t>
  </si>
  <si>
    <t xml:space="preserve">Labores de cosecha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</si>
</sst>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;0"/>
    <numFmt numFmtId="168" formatCode="&quot;$&quot;\ #,##0"/>
    <numFmt numFmtId="169" formatCode="0.0"/>
  </numFmts>
  <fonts count="24" x14ac:knownFonts="1">
    <font>
      <sz val="11"/>
      <color indexed="8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rgb="FFFF0000"/>
      <name val="Arial Narrow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9" fontId="3" fillId="0" borderId="0" applyFont="0" applyFill="0" applyBorder="0" applyAlignment="0" applyProtection="0"/>
    <xf numFmtId="0" fontId="3" fillId="0" borderId="3" applyNumberFormat="0" applyFill="0" applyBorder="0" applyProtection="0"/>
    <xf numFmtId="41" fontId="23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4" fillId="2" borderId="24" xfId="0" applyNumberFormat="1" applyFont="1" applyFill="1" applyBorder="1" applyAlignment="1">
      <alignment horizontal="right" vertical="center" wrapText="1"/>
    </xf>
    <xf numFmtId="17" fontId="4" fillId="2" borderId="24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49" fontId="5" fillId="2" borderId="13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165" fontId="6" fillId="5" borderId="39" xfId="2" applyNumberFormat="1" applyFont="1" applyFill="1" applyBorder="1" applyAlignment="1">
      <alignment vertical="center"/>
    </xf>
    <xf numFmtId="165" fontId="6" fillId="3" borderId="40" xfId="2" applyNumberFormat="1" applyFont="1" applyFill="1" applyBorder="1" applyAlignment="1">
      <alignment vertical="center"/>
    </xf>
    <xf numFmtId="165" fontId="6" fillId="5" borderId="40" xfId="2" applyNumberFormat="1" applyFont="1" applyFill="1" applyBorder="1" applyAlignment="1">
      <alignment vertical="center"/>
    </xf>
    <xf numFmtId="165" fontId="6" fillId="10" borderId="41" xfId="2" applyNumberFormat="1" applyFont="1" applyFill="1" applyBorder="1" applyAlignment="1">
      <alignment vertical="center"/>
    </xf>
    <xf numFmtId="0" fontId="4" fillId="2" borderId="3" xfId="0" applyFont="1" applyFill="1" applyBorder="1" applyAlignment="1"/>
    <xf numFmtId="0" fontId="4" fillId="2" borderId="34" xfId="0" applyFont="1" applyFill="1" applyBorder="1" applyAlignment="1"/>
    <xf numFmtId="0" fontId="4" fillId="2" borderId="29" xfId="0" applyFont="1" applyFill="1" applyBorder="1" applyAlignment="1"/>
    <xf numFmtId="0" fontId="4" fillId="2" borderId="35" xfId="0" applyFont="1" applyFill="1" applyBorder="1" applyAlignment="1"/>
    <xf numFmtId="0" fontId="4" fillId="0" borderId="3" xfId="0" applyNumberFormat="1" applyFont="1" applyBorder="1" applyAlignment="1"/>
    <xf numFmtId="0" fontId="4" fillId="0" borderId="3" xfId="0" applyFont="1" applyBorder="1" applyAlignment="1"/>
    <xf numFmtId="0" fontId="4" fillId="2" borderId="25" xfId="0" applyFont="1" applyFill="1" applyBorder="1" applyAlignment="1"/>
    <xf numFmtId="0" fontId="4" fillId="2" borderId="1" xfId="0" applyFont="1" applyFill="1" applyBorder="1" applyAlignment="1"/>
    <xf numFmtId="0" fontId="4" fillId="2" borderId="5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4" fillId="2" borderId="33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14" fontId="4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vertical="center"/>
    </xf>
    <xf numFmtId="0" fontId="16" fillId="9" borderId="24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/>
    </xf>
    <xf numFmtId="3" fontId="17" fillId="9" borderId="24" xfId="0" applyNumberFormat="1" applyFont="1" applyFill="1" applyBorder="1" applyAlignment="1">
      <alignment horizontal="right" vertical="center"/>
    </xf>
    <xf numFmtId="0" fontId="18" fillId="9" borderId="24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" fillId="9" borderId="3" xfId="0" applyFont="1" applyFill="1" applyBorder="1" applyAlignment="1"/>
    <xf numFmtId="0" fontId="4" fillId="9" borderId="0" xfId="0" applyNumberFormat="1" applyFont="1" applyFill="1" applyAlignment="1"/>
    <xf numFmtId="0" fontId="4" fillId="9" borderId="0" xfId="0" applyFont="1" applyFill="1" applyAlignment="1"/>
    <xf numFmtId="49" fontId="10" fillId="3" borderId="24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vertical="center"/>
    </xf>
    <xf numFmtId="3" fontId="10" fillId="3" borderId="2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9" borderId="24" xfId="0" applyFont="1" applyFill="1" applyBorder="1" applyAlignment="1">
      <alignment vertical="center" wrapText="1"/>
    </xf>
    <xf numFmtId="0" fontId="18" fillId="9" borderId="26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/>
    <xf numFmtId="0" fontId="17" fillId="9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/>
    </xf>
    <xf numFmtId="0" fontId="18" fillId="9" borderId="24" xfId="0" applyFont="1" applyFill="1" applyBorder="1" applyAlignment="1">
      <alignment horizontal="left" vertical="center"/>
    </xf>
    <xf numFmtId="0" fontId="16" fillId="9" borderId="24" xfId="0" applyFont="1" applyFill="1" applyBorder="1" applyAlignment="1">
      <alignment horizontal="left" vertical="center"/>
    </xf>
    <xf numFmtId="0" fontId="17" fillId="9" borderId="26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0" fillId="9" borderId="24" xfId="0" applyFont="1" applyFill="1" applyBorder="1" applyAlignment="1">
      <alignment vertical="center"/>
    </xf>
    <xf numFmtId="0" fontId="20" fillId="9" borderId="24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left" vertical="center"/>
    </xf>
    <xf numFmtId="0" fontId="18" fillId="9" borderId="26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65" fontId="15" fillId="2" borderId="3" xfId="0" applyNumberFormat="1" applyFont="1" applyFill="1" applyBorder="1" applyAlignment="1">
      <alignment vertical="center"/>
    </xf>
    <xf numFmtId="165" fontId="22" fillId="2" borderId="3" xfId="0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 wrapText="1"/>
    </xf>
    <xf numFmtId="49" fontId="7" fillId="2" borderId="2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/>
    <xf numFmtId="3" fontId="7" fillId="9" borderId="24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/>
    </xf>
    <xf numFmtId="49" fontId="6" fillId="5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6" fillId="3" borderId="24" xfId="0" applyNumberFormat="1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3" xfId="0" applyFont="1" applyFill="1" applyBorder="1" applyAlignment="1"/>
    <xf numFmtId="0" fontId="5" fillId="2" borderId="17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/>
    <xf numFmtId="0" fontId="5" fillId="0" borderId="3" xfId="0" applyFont="1" applyBorder="1" applyAlignment="1"/>
    <xf numFmtId="0" fontId="5" fillId="8" borderId="38" xfId="0" applyFont="1" applyFill="1" applyBorder="1" applyAlignment="1"/>
    <xf numFmtId="0" fontId="5" fillId="6" borderId="3" xfId="0" applyFont="1" applyFill="1" applyBorder="1" applyAlignment="1"/>
    <xf numFmtId="49" fontId="13" fillId="7" borderId="6" xfId="0" applyNumberFormat="1" applyFont="1" applyFill="1" applyBorder="1" applyAlignment="1">
      <alignment vertical="center"/>
    </xf>
    <xf numFmtId="49" fontId="13" fillId="7" borderId="4" xfId="0" applyNumberFormat="1" applyFont="1" applyFill="1" applyBorder="1" applyAlignment="1">
      <alignment horizontal="center" vertical="center"/>
    </xf>
    <xf numFmtId="49" fontId="5" fillId="7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vertical="center"/>
    </xf>
    <xf numFmtId="3" fontId="13" fillId="9" borderId="2" xfId="0" applyNumberFormat="1" applyFont="1" applyFill="1" applyBorder="1" applyAlignment="1">
      <alignment vertical="center"/>
    </xf>
    <xf numFmtId="9" fontId="5" fillId="2" borderId="9" xfId="0" applyNumberFormat="1" applyFont="1" applyFill="1" applyBorder="1" applyAlignment="1"/>
    <xf numFmtId="9" fontId="5" fillId="6" borderId="3" xfId="1" applyFont="1" applyFill="1" applyBorder="1" applyAlignment="1"/>
    <xf numFmtId="0" fontId="13" fillId="9" borderId="2" xfId="0" applyNumberFormat="1" applyFont="1" applyFill="1" applyBorder="1" applyAlignment="1">
      <alignment vertical="center"/>
    </xf>
    <xf numFmtId="166" fontId="13" fillId="9" borderId="2" xfId="0" applyNumberFormat="1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9" fontId="13" fillId="7" borderId="12" xfId="0" applyNumberFormat="1" applyFont="1" applyFill="1" applyBorder="1" applyAlignment="1">
      <alignment vertical="center"/>
    </xf>
    <xf numFmtId="0" fontId="5" fillId="0" borderId="3" xfId="0" applyNumberFormat="1" applyFont="1" applyBorder="1" applyAlignment="1"/>
    <xf numFmtId="0" fontId="5" fillId="0" borderId="0" xfId="0" applyNumberFormat="1" applyFont="1" applyAlignment="1"/>
    <xf numFmtId="0" fontId="12" fillId="8" borderId="13" xfId="0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vertical="center"/>
    </xf>
    <xf numFmtId="0" fontId="12" fillId="8" borderId="14" xfId="0" applyFont="1" applyFill="1" applyBorder="1" applyAlignment="1">
      <alignment vertical="center"/>
    </xf>
    <xf numFmtId="0" fontId="12" fillId="8" borderId="15" xfId="0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vertical="center"/>
    </xf>
    <xf numFmtId="166" fontId="13" fillId="7" borderId="11" xfId="0" applyNumberFormat="1" applyFont="1" applyFill="1" applyBorder="1" applyAlignment="1">
      <alignment vertical="center"/>
    </xf>
    <xf numFmtId="0" fontId="17" fillId="9" borderId="24" xfId="0" applyFont="1" applyFill="1" applyBorder="1" applyAlignment="1">
      <alignment horizontal="right" vertical="center"/>
    </xf>
    <xf numFmtId="0" fontId="18" fillId="9" borderId="24" xfId="0" applyFont="1" applyFill="1" applyBorder="1" applyAlignment="1">
      <alignment horizontal="right" vertical="center"/>
    </xf>
    <xf numFmtId="3" fontId="18" fillId="9" borderId="24" xfId="0" applyNumberFormat="1" applyFont="1" applyFill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2" fontId="18" fillId="9" borderId="24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center" wrapText="1"/>
    </xf>
    <xf numFmtId="3" fontId="18" fillId="0" borderId="24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/>
    </xf>
    <xf numFmtId="1" fontId="18" fillId="0" borderId="24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/>
    </xf>
    <xf numFmtId="167" fontId="18" fillId="9" borderId="24" xfId="0" applyNumberFormat="1" applyFont="1" applyFill="1" applyBorder="1" applyAlignment="1">
      <alignment horizontal="right" vertical="center"/>
    </xf>
    <xf numFmtId="168" fontId="19" fillId="9" borderId="24" xfId="0" applyNumberFormat="1" applyFont="1" applyFill="1" applyBorder="1" applyAlignment="1">
      <alignment horizontal="right" vertical="center" wrapText="1"/>
    </xf>
    <xf numFmtId="3" fontId="20" fillId="9" borderId="24" xfId="0" applyNumberFormat="1" applyFont="1" applyFill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9" borderId="24" xfId="0" applyFont="1" applyFill="1" applyBorder="1" applyAlignment="1">
      <alignment horizontal="right" vertical="center"/>
    </xf>
    <xf numFmtId="169" fontId="18" fillId="0" borderId="24" xfId="0" applyNumberFormat="1" applyFont="1" applyBorder="1" applyAlignment="1">
      <alignment horizontal="right" vertical="center"/>
    </xf>
    <xf numFmtId="166" fontId="13" fillId="11" borderId="11" xfId="0" applyNumberFormat="1" applyFont="1" applyFill="1" applyBorder="1" applyAlignment="1">
      <alignment vertical="center"/>
    </xf>
    <xf numFmtId="41" fontId="13" fillId="7" borderId="22" xfId="3" applyFont="1" applyFill="1" applyBorder="1" applyAlignment="1">
      <alignment vertical="center"/>
    </xf>
    <xf numFmtId="41" fontId="13" fillId="7" borderId="23" xfId="3" applyFont="1" applyFill="1" applyBorder="1" applyAlignment="1">
      <alignment vertical="center"/>
    </xf>
    <xf numFmtId="49" fontId="14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8" fillId="3" borderId="24" xfId="0" applyNumberFormat="1" applyFont="1" applyFill="1" applyBorder="1" applyAlignment="1">
      <alignment wrapText="1"/>
    </xf>
    <xf numFmtId="0" fontId="8" fillId="4" borderId="24" xfId="0" applyFont="1" applyFill="1" applyBorder="1" applyAlignment="1">
      <alignment wrapText="1"/>
    </xf>
    <xf numFmtId="49" fontId="9" fillId="3" borderId="30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</cellXfs>
  <cellStyles count="4">
    <cellStyle name="Millares [0]" xfId="3" builtinId="6"/>
    <cellStyle name="Normal" xfId="0" builtinId="0"/>
    <cellStyle name="Normal 2" xfId="2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33704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24"/>
  <sheetViews>
    <sheetView showGridLines="0" tabSelected="1" topLeftCell="A109" zoomScale="120" zoomScaleNormal="120" zoomScaleSheetLayoutView="120" workbookViewId="0">
      <selection activeCell="J119" sqref="J119"/>
    </sheetView>
  </sheetViews>
  <sheetFormatPr baseColWidth="10" defaultColWidth="10.85546875" defaultRowHeight="11.25" customHeight="1" x14ac:dyDescent="0.25"/>
  <cols>
    <col min="1" max="1" width="4.42578125" style="17" customWidth="1"/>
    <col min="2" max="2" width="28.85546875" style="17" customWidth="1"/>
    <col min="3" max="3" width="19.42578125" style="22" customWidth="1"/>
    <col min="4" max="4" width="9.42578125" style="22" customWidth="1"/>
    <col min="5" max="5" width="14.42578125" style="22" customWidth="1"/>
    <col min="6" max="6" width="11" style="22" customWidth="1"/>
    <col min="7" max="7" width="12.42578125" style="22" customWidth="1"/>
    <col min="8" max="8" width="10.85546875" style="22" customWidth="1"/>
    <col min="9" max="9" width="27" style="22" customWidth="1"/>
    <col min="10" max="10" width="12.7109375" style="22" customWidth="1"/>
    <col min="11" max="11" width="21.28515625" style="22" customWidth="1"/>
    <col min="12" max="12" width="13.140625" style="22" customWidth="1"/>
    <col min="13" max="255" width="10.85546875" style="22" customWidth="1"/>
    <col min="256" max="16384" width="10.85546875" style="23"/>
  </cols>
  <sheetData>
    <row r="1" spans="1:255" s="18" customFormat="1" ht="15" customHeight="1" x14ac:dyDescent="0.25">
      <c r="A1" s="13"/>
      <c r="B1" s="14"/>
      <c r="C1" s="15"/>
      <c r="D1" s="15"/>
      <c r="E1" s="15"/>
      <c r="F1" s="16"/>
      <c r="G1" s="1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ht="15" customHeight="1" x14ac:dyDescent="0.25">
      <c r="A2" s="13"/>
      <c r="B2" s="19"/>
      <c r="C2" s="20"/>
      <c r="D2" s="20"/>
      <c r="E2" s="20"/>
      <c r="F2" s="21"/>
      <c r="G2" s="13"/>
    </row>
    <row r="3" spans="1:255" ht="15" customHeight="1" x14ac:dyDescent="0.25">
      <c r="A3" s="13"/>
      <c r="B3" s="19"/>
      <c r="C3" s="20"/>
      <c r="D3" s="20"/>
      <c r="E3" s="20"/>
      <c r="F3" s="21"/>
      <c r="G3" s="13"/>
    </row>
    <row r="4" spans="1:255" ht="15" customHeight="1" x14ac:dyDescent="0.25">
      <c r="A4" s="13"/>
      <c r="B4" s="19"/>
      <c r="C4" s="20"/>
      <c r="D4" s="20"/>
      <c r="E4" s="20"/>
      <c r="F4" s="21"/>
      <c r="G4" s="13"/>
    </row>
    <row r="5" spans="1:255" ht="15" customHeight="1" x14ac:dyDescent="0.25">
      <c r="A5" s="13"/>
      <c r="B5" s="19"/>
      <c r="C5" s="20"/>
      <c r="D5" s="20"/>
      <c r="E5" s="20"/>
      <c r="F5" s="21"/>
      <c r="G5" s="13"/>
    </row>
    <row r="6" spans="1:255" s="18" customFormat="1" ht="15" customHeight="1" x14ac:dyDescent="0.25">
      <c r="A6" s="13"/>
      <c r="B6" s="24"/>
      <c r="C6" s="25"/>
      <c r="D6" s="25"/>
      <c r="E6" s="25"/>
      <c r="F6" s="25"/>
      <c r="G6" s="2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18" customFormat="1" ht="15" customHeight="1" x14ac:dyDescent="0.25">
      <c r="A7" s="13"/>
      <c r="B7" s="13"/>
      <c r="C7" s="13"/>
      <c r="D7" s="13"/>
      <c r="E7" s="13"/>
      <c r="F7" s="13"/>
      <c r="G7" s="13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18" customFormat="1" ht="30.75" customHeight="1" x14ac:dyDescent="0.25">
      <c r="A8" s="13"/>
      <c r="B8" s="78" t="s">
        <v>0</v>
      </c>
      <c r="C8" s="79" t="s">
        <v>113</v>
      </c>
      <c r="D8" s="80"/>
      <c r="E8" s="149" t="s">
        <v>57</v>
      </c>
      <c r="F8" s="150"/>
      <c r="G8" s="81">
        <v>135000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ht="15" customHeight="1" x14ac:dyDescent="0.25">
      <c r="A9" s="13"/>
      <c r="B9" s="27" t="s">
        <v>1</v>
      </c>
      <c r="C9" s="1" t="s">
        <v>133</v>
      </c>
      <c r="D9" s="28"/>
      <c r="E9" s="147" t="s">
        <v>2</v>
      </c>
      <c r="F9" s="148"/>
      <c r="G9" s="1" t="s">
        <v>123</v>
      </c>
      <c r="H9" s="17"/>
    </row>
    <row r="10" spans="1:255" ht="15" customHeight="1" x14ac:dyDescent="0.25">
      <c r="A10" s="13"/>
      <c r="B10" s="27" t="s">
        <v>3</v>
      </c>
      <c r="C10" s="1" t="s">
        <v>4</v>
      </c>
      <c r="D10" s="28"/>
      <c r="E10" s="147" t="s">
        <v>148</v>
      </c>
      <c r="F10" s="148"/>
      <c r="G10" s="3">
        <v>300</v>
      </c>
      <c r="H10" s="17"/>
    </row>
    <row r="11" spans="1:255" ht="15" customHeight="1" x14ac:dyDescent="0.25">
      <c r="A11" s="13"/>
      <c r="B11" s="27" t="s">
        <v>5</v>
      </c>
      <c r="C11" s="1" t="s">
        <v>55</v>
      </c>
      <c r="D11" s="28"/>
      <c r="E11" s="147" t="s">
        <v>6</v>
      </c>
      <c r="F11" s="147"/>
      <c r="G11" s="4">
        <f>G8*G10</f>
        <v>40500000</v>
      </c>
      <c r="H11" s="17"/>
    </row>
    <row r="12" spans="1:255" ht="15" customHeight="1" x14ac:dyDescent="0.25">
      <c r="A12" s="13"/>
      <c r="B12" s="27" t="s">
        <v>7</v>
      </c>
      <c r="C12" s="1" t="s">
        <v>139</v>
      </c>
      <c r="D12" s="28"/>
      <c r="E12" s="147" t="s">
        <v>8</v>
      </c>
      <c r="F12" s="148"/>
      <c r="G12" s="1" t="s">
        <v>56</v>
      </c>
      <c r="H12" s="17"/>
    </row>
    <row r="13" spans="1:255" ht="15" customHeight="1" x14ac:dyDescent="0.25">
      <c r="A13" s="13"/>
      <c r="B13" s="27" t="s">
        <v>9</v>
      </c>
      <c r="C13" s="1" t="s">
        <v>139</v>
      </c>
      <c r="D13" s="28"/>
      <c r="E13" s="147" t="s">
        <v>10</v>
      </c>
      <c r="F13" s="148"/>
      <c r="G13" s="1" t="s">
        <v>123</v>
      </c>
      <c r="H13" s="17"/>
    </row>
    <row r="14" spans="1:255" s="18" customFormat="1" ht="21" customHeight="1" x14ac:dyDescent="0.25">
      <c r="A14" s="13"/>
      <c r="B14" s="27" t="s">
        <v>11</v>
      </c>
      <c r="C14" s="2">
        <v>44228</v>
      </c>
      <c r="D14" s="28"/>
      <c r="E14" s="147" t="s">
        <v>12</v>
      </c>
      <c r="F14" s="148"/>
      <c r="G14" s="1" t="s">
        <v>124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s="18" customFormat="1" ht="12" customHeight="1" x14ac:dyDescent="0.25">
      <c r="A15" s="13"/>
      <c r="B15" s="29"/>
      <c r="C15" s="30"/>
      <c r="D15" s="13"/>
      <c r="E15" s="13"/>
      <c r="F15" s="13"/>
      <c r="G15" s="3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18" customFormat="1" ht="12" customHeight="1" x14ac:dyDescent="0.25">
      <c r="A16" s="13"/>
      <c r="B16" s="151" t="s">
        <v>13</v>
      </c>
      <c r="C16" s="152"/>
      <c r="D16" s="152"/>
      <c r="E16" s="152"/>
      <c r="F16" s="152"/>
      <c r="G16" s="1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s="18" customFormat="1" ht="12" customHeight="1" x14ac:dyDescent="0.25">
      <c r="A17" s="13"/>
      <c r="B17" s="80"/>
      <c r="C17" s="82"/>
      <c r="D17" s="82"/>
      <c r="E17" s="82"/>
      <c r="F17" s="80"/>
      <c r="G17" s="8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s="18" customFormat="1" ht="12" customHeight="1" x14ac:dyDescent="0.25">
      <c r="A18" s="13"/>
      <c r="B18" s="83" t="s">
        <v>58</v>
      </c>
      <c r="C18" s="84"/>
      <c r="D18" s="84"/>
      <c r="E18" s="84"/>
      <c r="F18" s="84"/>
      <c r="G18" s="8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24" customHeight="1" x14ac:dyDescent="0.25">
      <c r="A19" s="13"/>
      <c r="B19" s="85" t="s">
        <v>14</v>
      </c>
      <c r="C19" s="85" t="s">
        <v>15</v>
      </c>
      <c r="D19" s="85" t="s">
        <v>16</v>
      </c>
      <c r="E19" s="85" t="s">
        <v>17</v>
      </c>
      <c r="F19" s="85" t="s">
        <v>18</v>
      </c>
      <c r="G19" s="85" t="s">
        <v>19</v>
      </c>
    </row>
    <row r="20" spans="1:255" ht="15" customHeight="1" x14ac:dyDescent="0.25">
      <c r="A20" s="13"/>
      <c r="B20" s="33" t="s">
        <v>134</v>
      </c>
      <c r="C20" s="34"/>
      <c r="D20" s="122"/>
      <c r="E20" s="122"/>
      <c r="F20" s="35"/>
      <c r="G20" s="35"/>
    </row>
    <row r="21" spans="1:255" ht="26.25" customHeight="1" x14ac:dyDescent="0.25">
      <c r="A21" s="13"/>
      <c r="B21" s="36" t="s">
        <v>115</v>
      </c>
      <c r="C21" s="37" t="s">
        <v>20</v>
      </c>
      <c r="D21" s="123">
        <v>15</v>
      </c>
      <c r="E21" s="123" t="s">
        <v>116</v>
      </c>
      <c r="F21" s="124">
        <v>75000</v>
      </c>
      <c r="G21" s="124">
        <f>D21*F21</f>
        <v>1125000</v>
      </c>
    </row>
    <row r="22" spans="1:255" ht="15" customHeight="1" x14ac:dyDescent="0.25">
      <c r="A22" s="13"/>
      <c r="B22" s="38" t="s">
        <v>151</v>
      </c>
      <c r="C22" s="37"/>
      <c r="D22" s="123"/>
      <c r="E22" s="123"/>
      <c r="F22" s="124"/>
      <c r="G22" s="124"/>
    </row>
    <row r="23" spans="1:255" ht="15" customHeight="1" x14ac:dyDescent="0.25">
      <c r="A23" s="13"/>
      <c r="B23" s="39" t="s">
        <v>59</v>
      </c>
      <c r="C23" s="40" t="s">
        <v>20</v>
      </c>
      <c r="D23" s="125">
        <f>4*6/2</f>
        <v>12</v>
      </c>
      <c r="E23" s="125" t="s">
        <v>117</v>
      </c>
      <c r="F23" s="126">
        <v>20000</v>
      </c>
      <c r="G23" s="126">
        <f>D23*F23</f>
        <v>240000</v>
      </c>
    </row>
    <row r="24" spans="1:255" ht="15" customHeight="1" x14ac:dyDescent="0.25">
      <c r="A24" s="13"/>
      <c r="B24" s="39" t="s">
        <v>60</v>
      </c>
      <c r="C24" s="37" t="s">
        <v>20</v>
      </c>
      <c r="D24" s="125">
        <f>1*6/2</f>
        <v>3</v>
      </c>
      <c r="E24" s="125" t="s">
        <v>117</v>
      </c>
      <c r="F24" s="126">
        <v>20000</v>
      </c>
      <c r="G24" s="126">
        <f t="shared" ref="G24" si="0">D24*F24</f>
        <v>60000</v>
      </c>
    </row>
    <row r="25" spans="1:255" ht="15" customHeight="1" x14ac:dyDescent="0.25">
      <c r="A25" s="13"/>
      <c r="B25" s="39" t="s">
        <v>61</v>
      </c>
      <c r="C25" s="40" t="s">
        <v>20</v>
      </c>
      <c r="D25" s="125">
        <f>2/8*4/2</f>
        <v>0.5</v>
      </c>
      <c r="E25" s="125" t="s">
        <v>117</v>
      </c>
      <c r="F25" s="126">
        <v>20000</v>
      </c>
      <c r="G25" s="126">
        <f>D25*F25</f>
        <v>10000</v>
      </c>
    </row>
    <row r="26" spans="1:255" ht="15" customHeight="1" x14ac:dyDescent="0.25">
      <c r="A26" s="13"/>
      <c r="B26" s="39" t="s">
        <v>63</v>
      </c>
      <c r="C26" s="37" t="s">
        <v>20</v>
      </c>
      <c r="D26" s="123">
        <v>11</v>
      </c>
      <c r="E26" s="125" t="s">
        <v>118</v>
      </c>
      <c r="F26" s="126">
        <v>20000</v>
      </c>
      <c r="G26" s="126">
        <f t="shared" ref="G26:G27" si="1">D26*F26</f>
        <v>220000</v>
      </c>
    </row>
    <row r="27" spans="1:255" ht="15" customHeight="1" x14ac:dyDescent="0.25">
      <c r="A27" s="13"/>
      <c r="B27" s="39" t="s">
        <v>64</v>
      </c>
      <c r="C27" s="37" t="s">
        <v>20</v>
      </c>
      <c r="D27" s="125">
        <v>3</v>
      </c>
      <c r="E27" s="125" t="s">
        <v>119</v>
      </c>
      <c r="F27" s="126">
        <v>20000</v>
      </c>
      <c r="G27" s="126">
        <f t="shared" si="1"/>
        <v>60000</v>
      </c>
    </row>
    <row r="28" spans="1:255" ht="15" customHeight="1" x14ac:dyDescent="0.25">
      <c r="A28" s="13"/>
      <c r="B28" s="39" t="s">
        <v>65</v>
      </c>
      <c r="C28" s="37" t="s">
        <v>20</v>
      </c>
      <c r="D28" s="125">
        <v>10</v>
      </c>
      <c r="E28" s="125" t="s">
        <v>120</v>
      </c>
      <c r="F28" s="126">
        <v>20000</v>
      </c>
      <c r="G28" s="126">
        <f t="shared" ref="G28" si="2">D28*F28</f>
        <v>200000</v>
      </c>
    </row>
    <row r="29" spans="1:255" ht="15" customHeight="1" x14ac:dyDescent="0.25">
      <c r="A29" s="13"/>
      <c r="B29" s="39" t="s">
        <v>66</v>
      </c>
      <c r="C29" s="37" t="s">
        <v>20</v>
      </c>
      <c r="D29" s="125">
        <v>12</v>
      </c>
      <c r="E29" s="125" t="s">
        <v>120</v>
      </c>
      <c r="F29" s="126">
        <v>20000</v>
      </c>
      <c r="G29" s="126">
        <f t="shared" ref="G29" si="3">D29*F29</f>
        <v>240000</v>
      </c>
    </row>
    <row r="30" spans="1:255" ht="15" customHeight="1" x14ac:dyDescent="0.25">
      <c r="A30" s="13"/>
      <c r="B30" s="39" t="s">
        <v>135</v>
      </c>
      <c r="C30" s="37" t="s">
        <v>20</v>
      </c>
      <c r="D30" s="125">
        <v>450</v>
      </c>
      <c r="E30" s="125" t="s">
        <v>120</v>
      </c>
      <c r="F30" s="126">
        <v>20000</v>
      </c>
      <c r="G30" s="126">
        <f t="shared" ref="G30" si="4">D30*F30</f>
        <v>9000000</v>
      </c>
    </row>
    <row r="31" spans="1:255" ht="15" customHeight="1" x14ac:dyDescent="0.25">
      <c r="A31" s="13"/>
      <c r="B31" s="39" t="s">
        <v>67</v>
      </c>
      <c r="C31" s="40" t="s">
        <v>20</v>
      </c>
      <c r="D31" s="125">
        <f>0.5*4*8+0.5*2*9</f>
        <v>25</v>
      </c>
      <c r="E31" s="125" t="s">
        <v>121</v>
      </c>
      <c r="F31" s="126">
        <v>20000</v>
      </c>
      <c r="G31" s="126">
        <f>D31*F31</f>
        <v>500000</v>
      </c>
    </row>
    <row r="32" spans="1:255" ht="15" customHeight="1" x14ac:dyDescent="0.25">
      <c r="A32" s="13"/>
      <c r="B32" s="37" t="s">
        <v>68</v>
      </c>
      <c r="C32" s="37" t="s">
        <v>20</v>
      </c>
      <c r="D32" s="127">
        <f>1.5/8*4+3/8*6*8+3*4*4</f>
        <v>66.75</v>
      </c>
      <c r="E32" s="123" t="s">
        <v>121</v>
      </c>
      <c r="F32" s="124">
        <v>20000</v>
      </c>
      <c r="G32" s="124">
        <f>D32*F32</f>
        <v>1335000</v>
      </c>
    </row>
    <row r="33" spans="1:255" s="43" customFormat="1" ht="15" customHeight="1" x14ac:dyDescent="0.25">
      <c r="A33" s="41"/>
      <c r="B33" s="36" t="s">
        <v>70</v>
      </c>
      <c r="C33" s="37" t="s">
        <v>20</v>
      </c>
      <c r="D33" s="123">
        <f>0.5*4*6</f>
        <v>12</v>
      </c>
      <c r="E33" s="123" t="s">
        <v>120</v>
      </c>
      <c r="F33" s="124">
        <v>20000</v>
      </c>
      <c r="G33" s="124">
        <f t="shared" ref="G33:G35" si="5">D33*F33</f>
        <v>240000</v>
      </c>
      <c r="H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</row>
    <row r="34" spans="1:255" s="43" customFormat="1" ht="15" customHeight="1" x14ac:dyDescent="0.25">
      <c r="A34" s="41"/>
      <c r="B34" s="36" t="s">
        <v>71</v>
      </c>
      <c r="C34" s="37" t="s">
        <v>20</v>
      </c>
      <c r="D34" s="123">
        <v>24</v>
      </c>
      <c r="E34" s="123" t="s">
        <v>122</v>
      </c>
      <c r="F34" s="124">
        <v>20000</v>
      </c>
      <c r="G34" s="124">
        <f t="shared" si="5"/>
        <v>480000</v>
      </c>
      <c r="H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</row>
    <row r="35" spans="1:255" s="43" customFormat="1" ht="15" customHeight="1" x14ac:dyDescent="0.25">
      <c r="A35" s="41"/>
      <c r="B35" s="36" t="s">
        <v>72</v>
      </c>
      <c r="C35" s="37" t="s">
        <v>20</v>
      </c>
      <c r="D35" s="123">
        <v>5</v>
      </c>
      <c r="E35" s="123" t="s">
        <v>122</v>
      </c>
      <c r="F35" s="124">
        <v>20000</v>
      </c>
      <c r="G35" s="124">
        <f t="shared" si="5"/>
        <v>100000</v>
      </c>
      <c r="H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</row>
    <row r="36" spans="1:255" s="43" customFormat="1" ht="15" customHeight="1" x14ac:dyDescent="0.25">
      <c r="A36" s="41"/>
      <c r="B36" s="33" t="s">
        <v>152</v>
      </c>
      <c r="C36" s="37"/>
      <c r="D36" s="123"/>
      <c r="E36" s="123"/>
      <c r="F36" s="124"/>
      <c r="G36" s="124"/>
      <c r="H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</row>
    <row r="37" spans="1:255" s="43" customFormat="1" ht="15" customHeight="1" x14ac:dyDescent="0.25">
      <c r="A37" s="41"/>
      <c r="B37" s="36" t="s">
        <v>114</v>
      </c>
      <c r="C37" s="37" t="s">
        <v>20</v>
      </c>
      <c r="D37" s="123">
        <v>97</v>
      </c>
      <c r="E37" s="123" t="s">
        <v>123</v>
      </c>
      <c r="F37" s="124">
        <v>20000</v>
      </c>
      <c r="G37" s="124">
        <f>D37*F37</f>
        <v>1940000</v>
      </c>
      <c r="H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255" s="18" customFormat="1" ht="15" customHeight="1" x14ac:dyDescent="0.25">
      <c r="A38" s="13"/>
      <c r="B38" s="44" t="s">
        <v>21</v>
      </c>
      <c r="C38" s="45"/>
      <c r="D38" s="45"/>
      <c r="E38" s="45"/>
      <c r="F38" s="46"/>
      <c r="G38" s="47">
        <f>SUM(G20:G37)</f>
        <v>15750000</v>
      </c>
      <c r="H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s="18" customFormat="1" ht="12" customHeight="1" x14ac:dyDescent="0.25">
      <c r="A39" s="13"/>
      <c r="B39" s="13"/>
      <c r="C39" s="13"/>
      <c r="D39" s="13"/>
      <c r="E39" s="13"/>
      <c r="F39" s="48"/>
      <c r="G39" s="48"/>
      <c r="H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s="18" customFormat="1" ht="15" customHeight="1" x14ac:dyDescent="0.25">
      <c r="A40" s="13"/>
      <c r="B40" s="83" t="s">
        <v>22</v>
      </c>
      <c r="C40" s="86"/>
      <c r="D40" s="86"/>
      <c r="E40" s="86"/>
      <c r="F40" s="84"/>
      <c r="G40" s="84"/>
      <c r="H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ht="24" customHeight="1" x14ac:dyDescent="0.25">
      <c r="A41" s="13"/>
      <c r="B41" s="87" t="s">
        <v>14</v>
      </c>
      <c r="C41" s="85" t="s">
        <v>15</v>
      </c>
      <c r="D41" s="85" t="s">
        <v>16</v>
      </c>
      <c r="E41" s="87" t="s">
        <v>17</v>
      </c>
      <c r="F41" s="85" t="s">
        <v>18</v>
      </c>
      <c r="G41" s="87" t="s">
        <v>19</v>
      </c>
    </row>
    <row r="42" spans="1:255" ht="12" customHeight="1" x14ac:dyDescent="0.25">
      <c r="A42" s="13"/>
      <c r="B42" s="49"/>
      <c r="C42" s="49"/>
      <c r="D42" s="128"/>
      <c r="E42" s="128"/>
      <c r="F42" s="128"/>
      <c r="G42" s="128"/>
    </row>
    <row r="43" spans="1:255" s="18" customFormat="1" ht="15" customHeight="1" x14ac:dyDescent="0.25">
      <c r="A43" s="13"/>
      <c r="B43" s="44" t="s">
        <v>23</v>
      </c>
      <c r="C43" s="45"/>
      <c r="D43" s="45"/>
      <c r="E43" s="45"/>
      <c r="F43" s="46"/>
      <c r="G43" s="46"/>
      <c r="H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s="18" customFormat="1" ht="12" customHeight="1" x14ac:dyDescent="0.25">
      <c r="A44" s="13"/>
      <c r="B44" s="13"/>
      <c r="C44" s="13"/>
      <c r="D44" s="13"/>
      <c r="E44" s="13"/>
      <c r="F44" s="48"/>
      <c r="G44" s="48"/>
      <c r="H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s="18" customFormat="1" ht="12" customHeight="1" x14ac:dyDescent="0.25">
      <c r="A45" s="13"/>
      <c r="B45" s="83" t="s">
        <v>24</v>
      </c>
      <c r="C45" s="86"/>
      <c r="D45" s="86"/>
      <c r="E45" s="86"/>
      <c r="F45" s="84"/>
      <c r="G45" s="84"/>
      <c r="H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ht="24" customHeight="1" x14ac:dyDescent="0.25">
      <c r="A46" s="13"/>
      <c r="B46" s="87" t="s">
        <v>14</v>
      </c>
      <c r="C46" s="87" t="s">
        <v>15</v>
      </c>
      <c r="D46" s="87" t="s">
        <v>136</v>
      </c>
      <c r="E46" s="87" t="s">
        <v>17</v>
      </c>
      <c r="F46" s="85" t="s">
        <v>18</v>
      </c>
      <c r="G46" s="87" t="s">
        <v>19</v>
      </c>
    </row>
    <row r="47" spans="1:255" ht="15" customHeight="1" x14ac:dyDescent="0.25">
      <c r="A47" s="13"/>
      <c r="B47" s="50" t="s">
        <v>86</v>
      </c>
      <c r="C47" s="40" t="s">
        <v>150</v>
      </c>
      <c r="D47" s="141">
        <v>0.9</v>
      </c>
      <c r="E47" s="125" t="s">
        <v>117</v>
      </c>
      <c r="F47" s="126">
        <v>120000</v>
      </c>
      <c r="G47" s="126">
        <f>D47*F47</f>
        <v>108000</v>
      </c>
    </row>
    <row r="48" spans="1:255" s="18" customFormat="1" ht="15" customHeight="1" x14ac:dyDescent="0.25">
      <c r="A48" s="13"/>
      <c r="B48" s="44" t="s">
        <v>26</v>
      </c>
      <c r="C48" s="45"/>
      <c r="D48" s="45"/>
      <c r="E48" s="45"/>
      <c r="F48" s="46"/>
      <c r="G48" s="47">
        <f>SUM(G47:G47)</f>
        <v>108000</v>
      </c>
      <c r="H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s="18" customFormat="1" ht="15" customHeight="1" x14ac:dyDescent="0.25">
      <c r="A49" s="13"/>
      <c r="B49" s="13"/>
      <c r="C49" s="13"/>
      <c r="D49" s="13"/>
      <c r="E49" s="13"/>
      <c r="F49" s="48"/>
      <c r="G49" s="48"/>
      <c r="H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s="18" customFormat="1" ht="12" customHeight="1" x14ac:dyDescent="0.25">
      <c r="A50" s="13"/>
      <c r="B50" s="83" t="s">
        <v>27</v>
      </c>
      <c r="C50" s="86"/>
      <c r="D50" s="86"/>
      <c r="E50" s="86"/>
      <c r="F50" s="84"/>
      <c r="G50" s="84"/>
      <c r="H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ht="24" customHeight="1" x14ac:dyDescent="0.25">
      <c r="A51" s="13"/>
      <c r="B51" s="85" t="s">
        <v>28</v>
      </c>
      <c r="C51" s="88" t="s">
        <v>15</v>
      </c>
      <c r="D51" s="85" t="s">
        <v>137</v>
      </c>
      <c r="E51" s="85" t="s">
        <v>17</v>
      </c>
      <c r="F51" s="85" t="s">
        <v>18</v>
      </c>
      <c r="G51" s="85" t="s">
        <v>19</v>
      </c>
    </row>
    <row r="52" spans="1:255" ht="20.45" customHeight="1" x14ac:dyDescent="0.25">
      <c r="A52" s="13"/>
      <c r="B52" s="51" t="s">
        <v>88</v>
      </c>
      <c r="C52" s="52" t="s">
        <v>126</v>
      </c>
      <c r="D52" s="124">
        <v>6900</v>
      </c>
      <c r="E52" s="123" t="s">
        <v>25</v>
      </c>
      <c r="F52" s="124">
        <v>75</v>
      </c>
      <c r="G52" s="124">
        <f t="shared" ref="G52:G54" si="6">F52*D52</f>
        <v>517500</v>
      </c>
    </row>
    <row r="53" spans="1:255" ht="12.75" customHeight="1" x14ac:dyDescent="0.25">
      <c r="A53" s="13"/>
      <c r="B53" s="53" t="s">
        <v>89</v>
      </c>
      <c r="C53" s="52" t="s">
        <v>87</v>
      </c>
      <c r="D53" s="124">
        <f>6000/4</f>
        <v>1500</v>
      </c>
      <c r="E53" s="123" t="s">
        <v>62</v>
      </c>
      <c r="F53" s="124">
        <f>104990/3000*1.19</f>
        <v>41.646033333333335</v>
      </c>
      <c r="G53" s="124">
        <f t="shared" si="6"/>
        <v>62469.05</v>
      </c>
    </row>
    <row r="54" spans="1:255" ht="12.75" customHeight="1" x14ac:dyDescent="0.25">
      <c r="A54" s="13"/>
      <c r="B54" s="53" t="s">
        <v>90</v>
      </c>
      <c r="C54" s="52" t="s">
        <v>31</v>
      </c>
      <c r="D54" s="124">
        <f>1.8*30000/1333</f>
        <v>40.510127531882972</v>
      </c>
      <c r="E54" s="123" t="s">
        <v>91</v>
      </c>
      <c r="F54" s="124">
        <v>3500</v>
      </c>
      <c r="G54" s="124">
        <f t="shared" si="6"/>
        <v>141785.44636159041</v>
      </c>
    </row>
    <row r="55" spans="1:255" ht="12.75" customHeight="1" x14ac:dyDescent="0.25">
      <c r="A55" s="13"/>
      <c r="B55" s="54" t="s">
        <v>125</v>
      </c>
      <c r="C55" s="55" t="s">
        <v>126</v>
      </c>
      <c r="D55" s="130">
        <v>2500</v>
      </c>
      <c r="E55" s="130"/>
      <c r="F55" s="130">
        <v>600</v>
      </c>
      <c r="G55" s="4">
        <f>F55*D55</f>
        <v>1500000</v>
      </c>
    </row>
    <row r="56" spans="1:255" ht="15" customHeight="1" x14ac:dyDescent="0.25">
      <c r="A56" s="13"/>
      <c r="B56" s="56" t="s">
        <v>110</v>
      </c>
      <c r="C56" s="57"/>
      <c r="D56" s="131"/>
      <c r="E56" s="131"/>
      <c r="F56" s="131"/>
      <c r="G56" s="131"/>
    </row>
    <row r="57" spans="1:255" ht="23.25" customHeight="1" x14ac:dyDescent="0.25">
      <c r="A57" s="13"/>
      <c r="B57" s="58" t="s">
        <v>127</v>
      </c>
      <c r="C57" s="59" t="s">
        <v>92</v>
      </c>
      <c r="D57" s="132">
        <f>26000/2</f>
        <v>13000</v>
      </c>
      <c r="E57" s="133" t="s">
        <v>118</v>
      </c>
      <c r="F57" s="134">
        <v>630</v>
      </c>
      <c r="G57" s="124">
        <f>F57*D57</f>
        <v>8190000</v>
      </c>
    </row>
    <row r="58" spans="1:255" ht="15" customHeight="1" x14ac:dyDescent="0.25">
      <c r="A58" s="13"/>
      <c r="B58" s="60" t="s">
        <v>29</v>
      </c>
      <c r="C58" s="61"/>
      <c r="D58" s="135"/>
      <c r="E58" s="135"/>
      <c r="F58" s="129"/>
      <c r="G58" s="129"/>
    </row>
    <row r="59" spans="1:255" ht="15" customHeight="1" x14ac:dyDescent="0.25">
      <c r="A59" s="13"/>
      <c r="B59" s="53" t="s">
        <v>73</v>
      </c>
      <c r="C59" s="52" t="s">
        <v>74</v>
      </c>
      <c r="D59" s="123">
        <f>100/2</f>
        <v>50</v>
      </c>
      <c r="E59" s="123" t="s">
        <v>62</v>
      </c>
      <c r="F59" s="124">
        <v>8000</v>
      </c>
      <c r="G59" s="124">
        <f t="shared" ref="G59:G66" si="7">F59*D59</f>
        <v>400000</v>
      </c>
    </row>
    <row r="60" spans="1:255" ht="15" customHeight="1" x14ac:dyDescent="0.25">
      <c r="A60" s="13"/>
      <c r="B60" s="53" t="s">
        <v>75</v>
      </c>
      <c r="C60" s="52" t="s">
        <v>30</v>
      </c>
      <c r="D60" s="124">
        <f>500/2</f>
        <v>250</v>
      </c>
      <c r="E60" s="123" t="s">
        <v>128</v>
      </c>
      <c r="F60" s="136">
        <f>349*1.19</f>
        <v>415.31</v>
      </c>
      <c r="G60" s="124">
        <f t="shared" si="7"/>
        <v>103827.5</v>
      </c>
    </row>
    <row r="61" spans="1:255" ht="15" customHeight="1" x14ac:dyDescent="0.25">
      <c r="A61" s="13"/>
      <c r="B61" s="53" t="s">
        <v>76</v>
      </c>
      <c r="C61" s="52" t="s">
        <v>112</v>
      </c>
      <c r="D61" s="124">
        <f>1500</f>
        <v>1500</v>
      </c>
      <c r="E61" s="123" t="s">
        <v>128</v>
      </c>
      <c r="F61" s="136">
        <v>614.6</v>
      </c>
      <c r="G61" s="124">
        <f t="shared" si="7"/>
        <v>921900</v>
      </c>
    </row>
    <row r="62" spans="1:255" ht="15" customHeight="1" x14ac:dyDescent="0.25">
      <c r="A62" s="13"/>
      <c r="B62" s="62" t="s">
        <v>77</v>
      </c>
      <c r="C62" s="52" t="s">
        <v>30</v>
      </c>
      <c r="D62" s="123">
        <v>450</v>
      </c>
      <c r="E62" s="123" t="s">
        <v>128</v>
      </c>
      <c r="F62" s="136">
        <v>305</v>
      </c>
      <c r="G62" s="124">
        <f t="shared" si="7"/>
        <v>137250</v>
      </c>
    </row>
    <row r="63" spans="1:255" ht="15" customHeight="1" x14ac:dyDescent="0.25">
      <c r="A63" s="13"/>
      <c r="B63" s="62" t="s">
        <v>78</v>
      </c>
      <c r="C63" s="52" t="s">
        <v>30</v>
      </c>
      <c r="D63" s="123">
        <v>100</v>
      </c>
      <c r="E63" s="123" t="s">
        <v>128</v>
      </c>
      <c r="F63" s="136">
        <v>340</v>
      </c>
      <c r="G63" s="124">
        <f t="shared" si="7"/>
        <v>34000</v>
      </c>
      <c r="K63" s="17"/>
    </row>
    <row r="64" spans="1:255" ht="15" customHeight="1" x14ac:dyDescent="0.25">
      <c r="A64" s="13"/>
      <c r="B64" s="53" t="s">
        <v>79</v>
      </c>
      <c r="C64" s="52" t="s">
        <v>30</v>
      </c>
      <c r="D64" s="123">
        <v>100</v>
      </c>
      <c r="E64" s="123" t="s">
        <v>128</v>
      </c>
      <c r="F64" s="124">
        <v>1058</v>
      </c>
      <c r="G64" s="124">
        <f t="shared" si="7"/>
        <v>105800</v>
      </c>
      <c r="K64" s="17"/>
    </row>
    <row r="65" spans="1:11" ht="15" customHeight="1" x14ac:dyDescent="0.25">
      <c r="A65" s="13"/>
      <c r="B65" s="53" t="s">
        <v>80</v>
      </c>
      <c r="C65" s="52" t="s">
        <v>30</v>
      </c>
      <c r="D65" s="123">
        <v>100</v>
      </c>
      <c r="E65" s="123" t="s">
        <v>128</v>
      </c>
      <c r="F65" s="124">
        <v>1058</v>
      </c>
      <c r="G65" s="124">
        <f t="shared" si="7"/>
        <v>105800</v>
      </c>
      <c r="K65" s="17"/>
    </row>
    <row r="66" spans="1:11" ht="15" customHeight="1" x14ac:dyDescent="0.25">
      <c r="A66" s="13"/>
      <c r="B66" s="62" t="s">
        <v>81</v>
      </c>
      <c r="C66" s="52" t="s">
        <v>30</v>
      </c>
      <c r="D66" s="124">
        <v>400</v>
      </c>
      <c r="E66" s="123" t="s">
        <v>128</v>
      </c>
      <c r="F66" s="136">
        <f>17791/25</f>
        <v>711.64</v>
      </c>
      <c r="G66" s="124">
        <f t="shared" si="7"/>
        <v>284656</v>
      </c>
      <c r="K66" s="17"/>
    </row>
    <row r="67" spans="1:11" ht="15" customHeight="1" x14ac:dyDescent="0.25">
      <c r="A67" s="13"/>
      <c r="B67" s="53" t="s">
        <v>82</v>
      </c>
      <c r="C67" s="52" t="s">
        <v>30</v>
      </c>
      <c r="D67" s="123">
        <v>25</v>
      </c>
      <c r="E67" s="123" t="s">
        <v>128</v>
      </c>
      <c r="F67" s="124">
        <v>950</v>
      </c>
      <c r="G67" s="124">
        <f t="shared" ref="G67" si="8">F67*D67</f>
        <v>23750</v>
      </c>
      <c r="K67" s="17"/>
    </row>
    <row r="68" spans="1:11" ht="15" customHeight="1" x14ac:dyDescent="0.25">
      <c r="A68" s="13"/>
      <c r="B68" s="60" t="s">
        <v>32</v>
      </c>
      <c r="C68" s="63"/>
      <c r="D68" s="135"/>
      <c r="E68" s="135"/>
      <c r="F68" s="129"/>
      <c r="G68" s="129"/>
    </row>
    <row r="69" spans="1:11" ht="15" customHeight="1" x14ac:dyDescent="0.25">
      <c r="A69" s="13"/>
      <c r="B69" s="64" t="s">
        <v>131</v>
      </c>
      <c r="C69" s="52" t="s">
        <v>30</v>
      </c>
      <c r="D69" s="123">
        <v>1</v>
      </c>
      <c r="E69" s="125" t="s">
        <v>69</v>
      </c>
      <c r="F69" s="137">
        <v>68495</v>
      </c>
      <c r="G69" s="124">
        <f t="shared" ref="G69:G74" si="9">F69*D69</f>
        <v>68495</v>
      </c>
    </row>
    <row r="70" spans="1:11" ht="15" customHeight="1" x14ac:dyDescent="0.25">
      <c r="A70" s="13"/>
      <c r="B70" s="64" t="s">
        <v>132</v>
      </c>
      <c r="C70" s="52" t="s">
        <v>30</v>
      </c>
      <c r="D70" s="123">
        <v>1</v>
      </c>
      <c r="E70" s="125" t="s">
        <v>69</v>
      </c>
      <c r="F70" s="124">
        <f>37917*4</f>
        <v>151668</v>
      </c>
      <c r="G70" s="124">
        <f t="shared" si="9"/>
        <v>151668</v>
      </c>
    </row>
    <row r="71" spans="1:11" ht="15" customHeight="1" x14ac:dyDescent="0.25">
      <c r="A71" s="13"/>
      <c r="B71" s="64" t="s">
        <v>97</v>
      </c>
      <c r="C71" s="52" t="s">
        <v>30</v>
      </c>
      <c r="D71" s="123">
        <f>1/4</f>
        <v>0.25</v>
      </c>
      <c r="E71" s="123" t="s">
        <v>69</v>
      </c>
      <c r="F71" s="124">
        <v>172000</v>
      </c>
      <c r="G71" s="124">
        <f t="shared" si="9"/>
        <v>43000</v>
      </c>
    </row>
    <row r="72" spans="1:11" ht="15" customHeight="1" x14ac:dyDescent="0.25">
      <c r="A72" s="13"/>
      <c r="B72" s="64" t="s">
        <v>83</v>
      </c>
      <c r="C72" s="52" t="s">
        <v>30</v>
      </c>
      <c r="D72" s="123">
        <v>3</v>
      </c>
      <c r="E72" s="125" t="s">
        <v>69</v>
      </c>
      <c r="F72" s="124">
        <f>12133*5</f>
        <v>60665</v>
      </c>
      <c r="G72" s="124">
        <f t="shared" si="9"/>
        <v>181995</v>
      </c>
    </row>
    <row r="73" spans="1:11" ht="15" customHeight="1" x14ac:dyDescent="0.25">
      <c r="A73" s="13"/>
      <c r="B73" s="64" t="s">
        <v>84</v>
      </c>
      <c r="C73" s="52" t="s">
        <v>31</v>
      </c>
      <c r="D73" s="123">
        <v>2</v>
      </c>
      <c r="E73" s="125" t="s">
        <v>69</v>
      </c>
      <c r="F73" s="124">
        <v>38651</v>
      </c>
      <c r="G73" s="124">
        <f t="shared" si="9"/>
        <v>77302</v>
      </c>
    </row>
    <row r="74" spans="1:11" ht="15" customHeight="1" x14ac:dyDescent="0.25">
      <c r="A74" s="13"/>
      <c r="B74" s="64" t="s">
        <v>85</v>
      </c>
      <c r="C74" s="52" t="s">
        <v>30</v>
      </c>
      <c r="D74" s="123">
        <v>1</v>
      </c>
      <c r="E74" s="125" t="s">
        <v>69</v>
      </c>
      <c r="F74" s="124">
        <v>84865</v>
      </c>
      <c r="G74" s="124">
        <f t="shared" si="9"/>
        <v>84865</v>
      </c>
    </row>
    <row r="75" spans="1:11" ht="15" customHeight="1" x14ac:dyDescent="0.25">
      <c r="A75" s="13"/>
      <c r="B75" s="65" t="s">
        <v>111</v>
      </c>
      <c r="C75" s="66"/>
      <c r="D75" s="122"/>
      <c r="E75" s="122"/>
      <c r="F75" s="35"/>
      <c r="G75" s="124"/>
    </row>
    <row r="76" spans="1:11" ht="15" customHeight="1" x14ac:dyDescent="0.25">
      <c r="A76" s="13"/>
      <c r="B76" s="64" t="s">
        <v>98</v>
      </c>
      <c r="C76" s="52" t="s">
        <v>30</v>
      </c>
      <c r="D76" s="123">
        <v>0.5</v>
      </c>
      <c r="E76" s="123" t="s">
        <v>121</v>
      </c>
      <c r="F76" s="124">
        <v>65840</v>
      </c>
      <c r="G76" s="124">
        <f t="shared" ref="G76:G83" si="10">F76*D76</f>
        <v>32920</v>
      </c>
    </row>
    <row r="77" spans="1:11" ht="15" customHeight="1" x14ac:dyDescent="0.25">
      <c r="A77" s="13"/>
      <c r="B77" s="67" t="s">
        <v>99</v>
      </c>
      <c r="C77" s="68" t="s">
        <v>30</v>
      </c>
      <c r="D77" s="125">
        <v>1</v>
      </c>
      <c r="E77" s="123" t="s">
        <v>121</v>
      </c>
      <c r="F77" s="126">
        <v>143138</v>
      </c>
      <c r="G77" s="124">
        <f t="shared" si="10"/>
        <v>143138</v>
      </c>
    </row>
    <row r="78" spans="1:11" ht="15" customHeight="1" x14ac:dyDescent="0.25">
      <c r="A78" s="13"/>
      <c r="B78" s="67" t="s">
        <v>100</v>
      </c>
      <c r="C78" s="52" t="s">
        <v>30</v>
      </c>
      <c r="D78" s="125">
        <v>1</v>
      </c>
      <c r="E78" s="123" t="s">
        <v>121</v>
      </c>
      <c r="F78" s="126">
        <v>92500</v>
      </c>
      <c r="G78" s="124">
        <f t="shared" si="10"/>
        <v>92500</v>
      </c>
    </row>
    <row r="79" spans="1:11" ht="15" customHeight="1" x14ac:dyDescent="0.25">
      <c r="A79" s="13"/>
      <c r="B79" s="64" t="s">
        <v>101</v>
      </c>
      <c r="C79" s="52" t="s">
        <v>30</v>
      </c>
      <c r="D79" s="123">
        <v>3</v>
      </c>
      <c r="E79" s="123" t="s">
        <v>121</v>
      </c>
      <c r="F79" s="124">
        <v>18875</v>
      </c>
      <c r="G79" s="124">
        <f t="shared" si="10"/>
        <v>56625</v>
      </c>
    </row>
    <row r="80" spans="1:11" ht="15" customHeight="1" x14ac:dyDescent="0.25">
      <c r="A80" s="13"/>
      <c r="B80" s="64" t="s">
        <v>102</v>
      </c>
      <c r="C80" s="52" t="s">
        <v>30</v>
      </c>
      <c r="D80" s="123">
        <v>1</v>
      </c>
      <c r="E80" s="123" t="s">
        <v>121</v>
      </c>
      <c r="F80" s="126">
        <v>193436</v>
      </c>
      <c r="G80" s="124">
        <f t="shared" si="10"/>
        <v>193436</v>
      </c>
    </row>
    <row r="81" spans="1:255" ht="15" customHeight="1" x14ac:dyDescent="0.25">
      <c r="A81" s="13"/>
      <c r="B81" s="64" t="s">
        <v>103</v>
      </c>
      <c r="C81" s="52" t="s">
        <v>31</v>
      </c>
      <c r="D81" s="123">
        <v>1</v>
      </c>
      <c r="E81" s="123" t="s">
        <v>121</v>
      </c>
      <c r="F81" s="124">
        <v>14319</v>
      </c>
      <c r="G81" s="124">
        <f t="shared" si="10"/>
        <v>14319</v>
      </c>
    </row>
    <row r="82" spans="1:255" ht="15" customHeight="1" x14ac:dyDescent="0.25">
      <c r="A82" s="18"/>
      <c r="B82" s="64" t="s">
        <v>104</v>
      </c>
      <c r="C82" s="52" t="s">
        <v>31</v>
      </c>
      <c r="D82" s="123">
        <v>5</v>
      </c>
      <c r="E82" s="123" t="s">
        <v>121</v>
      </c>
      <c r="F82" s="124">
        <f>37424/25</f>
        <v>1496.96</v>
      </c>
      <c r="G82" s="124">
        <f t="shared" si="10"/>
        <v>7484.8</v>
      </c>
    </row>
    <row r="83" spans="1:255" ht="15" customHeight="1" x14ac:dyDescent="0.25">
      <c r="A83" s="18"/>
      <c r="B83" s="53" t="s">
        <v>105</v>
      </c>
      <c r="C83" s="52" t="s">
        <v>30</v>
      </c>
      <c r="D83" s="123">
        <v>1</v>
      </c>
      <c r="E83" s="123" t="s">
        <v>121</v>
      </c>
      <c r="F83" s="124">
        <f>56565*1.19</f>
        <v>67312.349999999991</v>
      </c>
      <c r="G83" s="124">
        <f t="shared" si="10"/>
        <v>67312.349999999991</v>
      </c>
    </row>
    <row r="84" spans="1:255" s="18" customFormat="1" ht="15" customHeight="1" x14ac:dyDescent="0.25">
      <c r="A84" s="13"/>
      <c r="B84" s="44" t="s">
        <v>33</v>
      </c>
      <c r="C84" s="45"/>
      <c r="D84" s="45"/>
      <c r="E84" s="45"/>
      <c r="F84" s="46"/>
      <c r="G84" s="47">
        <f>SUM(G52:G83)</f>
        <v>13743798.146361591</v>
      </c>
      <c r="H84" s="17"/>
      <c r="I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</row>
    <row r="85" spans="1:255" s="18" customFormat="1" ht="12" customHeight="1" x14ac:dyDescent="0.25">
      <c r="A85" s="13"/>
      <c r="B85" s="13"/>
      <c r="C85" s="13"/>
      <c r="D85" s="13"/>
      <c r="E85" s="69"/>
      <c r="F85" s="48"/>
      <c r="G85" s="48"/>
      <c r="H85" s="17"/>
      <c r="I85" s="17"/>
      <c r="J85" s="17"/>
      <c r="K85" s="17"/>
      <c r="L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</row>
    <row r="86" spans="1:255" s="18" customFormat="1" ht="12" customHeight="1" x14ac:dyDescent="0.25">
      <c r="A86" s="13"/>
      <c r="B86" s="83" t="s">
        <v>34</v>
      </c>
      <c r="C86" s="86"/>
      <c r="D86" s="86"/>
      <c r="E86" s="86"/>
      <c r="F86" s="84"/>
      <c r="G86" s="84"/>
      <c r="H86" s="17"/>
      <c r="I86" s="22"/>
      <c r="J86" s="22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</row>
    <row r="87" spans="1:255" ht="24" customHeight="1" x14ac:dyDescent="0.25">
      <c r="A87" s="13"/>
      <c r="B87" s="87" t="s">
        <v>35</v>
      </c>
      <c r="C87" s="85" t="s">
        <v>138</v>
      </c>
      <c r="D87" s="85" t="s">
        <v>137</v>
      </c>
      <c r="E87" s="87" t="s">
        <v>17</v>
      </c>
      <c r="F87" s="85" t="s">
        <v>18</v>
      </c>
      <c r="G87" s="87" t="s">
        <v>19</v>
      </c>
    </row>
    <row r="88" spans="1:255" ht="12.75" customHeight="1" x14ac:dyDescent="0.25">
      <c r="A88" s="13"/>
      <c r="B88" s="70" t="s">
        <v>106</v>
      </c>
      <c r="C88" s="71" t="s">
        <v>92</v>
      </c>
      <c r="D88" s="138">
        <f>1000/6/2</f>
        <v>83.333333333333329</v>
      </c>
      <c r="E88" s="139" t="s">
        <v>129</v>
      </c>
      <c r="F88" s="124">
        <v>1190</v>
      </c>
      <c r="G88" s="138">
        <f t="shared" ref="G88" si="11">+F88*D88</f>
        <v>99166.666666666657</v>
      </c>
    </row>
    <row r="89" spans="1:255" ht="12.75" customHeight="1" x14ac:dyDescent="0.25">
      <c r="A89" s="13"/>
      <c r="B89" s="72" t="s">
        <v>107</v>
      </c>
      <c r="C89" s="71" t="s">
        <v>108</v>
      </c>
      <c r="D89" s="140">
        <v>6</v>
      </c>
      <c r="E89" s="139" t="s">
        <v>128</v>
      </c>
      <c r="F89" s="124">
        <v>100000</v>
      </c>
      <c r="G89" s="124">
        <f t="shared" ref="G89" si="12">F89*D89</f>
        <v>600000</v>
      </c>
    </row>
    <row r="90" spans="1:255" ht="12.75" customHeight="1" x14ac:dyDescent="0.25">
      <c r="A90" s="13"/>
      <c r="B90" s="53" t="s">
        <v>93</v>
      </c>
      <c r="C90" s="52" t="s">
        <v>94</v>
      </c>
      <c r="D90" s="124">
        <v>6</v>
      </c>
      <c r="E90" s="123" t="s">
        <v>130</v>
      </c>
      <c r="F90" s="124">
        <f>39990*1.19</f>
        <v>47588.1</v>
      </c>
      <c r="G90" s="124">
        <f>F90*D90</f>
        <v>285528.59999999998</v>
      </c>
    </row>
    <row r="91" spans="1:255" ht="12.75" customHeight="1" x14ac:dyDescent="0.25">
      <c r="A91" s="13"/>
      <c r="B91" s="51" t="s">
        <v>95</v>
      </c>
      <c r="C91" s="73" t="s">
        <v>96</v>
      </c>
      <c r="D91" s="124">
        <f>2/2</f>
        <v>1</v>
      </c>
      <c r="E91" s="123" t="s">
        <v>130</v>
      </c>
      <c r="F91" s="124">
        <v>59488</v>
      </c>
      <c r="G91" s="124">
        <f>F91*D91</f>
        <v>59488</v>
      </c>
    </row>
    <row r="92" spans="1:255" ht="13.5" customHeight="1" x14ac:dyDescent="0.25">
      <c r="A92" s="13"/>
      <c r="B92" s="44" t="s">
        <v>36</v>
      </c>
      <c r="C92" s="45"/>
      <c r="D92" s="45"/>
      <c r="E92" s="45"/>
      <c r="F92" s="46"/>
      <c r="G92" s="47">
        <f>SUM(G88:G91)</f>
        <v>1044183.2666666666</v>
      </c>
    </row>
    <row r="93" spans="1:255" ht="12" customHeight="1" x14ac:dyDescent="0.25">
      <c r="A93" s="13"/>
      <c r="B93" s="13"/>
      <c r="C93" s="13"/>
      <c r="D93" s="13"/>
      <c r="E93" s="13"/>
      <c r="F93" s="48"/>
      <c r="G93" s="48"/>
    </row>
    <row r="94" spans="1:255" ht="12" customHeight="1" x14ac:dyDescent="0.25">
      <c r="A94" s="13"/>
      <c r="B94" s="89" t="s">
        <v>37</v>
      </c>
      <c r="C94" s="90"/>
      <c r="D94" s="90"/>
      <c r="E94" s="90"/>
      <c r="F94" s="90"/>
      <c r="G94" s="9">
        <f>G38+G43+G48+G84+G92</f>
        <v>30645981.413028255</v>
      </c>
    </row>
    <row r="95" spans="1:255" ht="12" customHeight="1" x14ac:dyDescent="0.25">
      <c r="A95" s="13"/>
      <c r="B95" s="91" t="s">
        <v>38</v>
      </c>
      <c r="C95" s="92"/>
      <c r="D95" s="92"/>
      <c r="E95" s="92"/>
      <c r="F95" s="92"/>
      <c r="G95" s="10">
        <f>G94*0.05</f>
        <v>1532299.0706514129</v>
      </c>
    </row>
    <row r="96" spans="1:255" ht="12" customHeight="1" x14ac:dyDescent="0.25">
      <c r="A96" s="13"/>
      <c r="B96" s="89" t="s">
        <v>39</v>
      </c>
      <c r="C96" s="90"/>
      <c r="D96" s="90"/>
      <c r="E96" s="90"/>
      <c r="F96" s="90"/>
      <c r="G96" s="11">
        <f>G95+G94</f>
        <v>32178280.483679667</v>
      </c>
    </row>
    <row r="97" spans="1:12" ht="12" customHeight="1" x14ac:dyDescent="0.25">
      <c r="A97" s="13"/>
      <c r="B97" s="91" t="s">
        <v>40</v>
      </c>
      <c r="C97" s="92"/>
      <c r="D97" s="92"/>
      <c r="E97" s="92"/>
      <c r="F97" s="92"/>
      <c r="G97" s="10">
        <f>G11</f>
        <v>40500000</v>
      </c>
    </row>
    <row r="98" spans="1:12" ht="12" customHeight="1" x14ac:dyDescent="0.25">
      <c r="A98" s="13"/>
      <c r="B98" s="89" t="s">
        <v>41</v>
      </c>
      <c r="C98" s="90"/>
      <c r="D98" s="90"/>
      <c r="E98" s="90"/>
      <c r="F98" s="90"/>
      <c r="G98" s="12">
        <f>G97-G96</f>
        <v>8321719.5163203329</v>
      </c>
    </row>
    <row r="99" spans="1:12" ht="12" customHeight="1" x14ac:dyDescent="0.25">
      <c r="A99" s="13"/>
      <c r="B99" s="74" t="s">
        <v>149</v>
      </c>
      <c r="C99" s="75"/>
      <c r="D99" s="75"/>
      <c r="E99" s="75"/>
      <c r="F99" s="75"/>
      <c r="G99" s="76"/>
    </row>
    <row r="100" spans="1:12" ht="15" customHeight="1" thickBot="1" x14ac:dyDescent="0.3">
      <c r="A100" s="13"/>
      <c r="B100" s="32"/>
      <c r="C100" s="75"/>
      <c r="D100" s="75"/>
      <c r="E100" s="75"/>
      <c r="F100" s="75"/>
      <c r="G100" s="76"/>
    </row>
    <row r="101" spans="1:12" ht="15" customHeight="1" x14ac:dyDescent="0.25">
      <c r="A101" s="13"/>
      <c r="B101" s="5" t="s">
        <v>140</v>
      </c>
      <c r="C101" s="93"/>
      <c r="D101" s="93"/>
      <c r="E101" s="94"/>
      <c r="F101" s="95"/>
      <c r="I101" s="23"/>
      <c r="J101" s="23"/>
      <c r="K101" s="23"/>
      <c r="L101" s="23"/>
    </row>
    <row r="102" spans="1:12" ht="15" customHeight="1" x14ac:dyDescent="0.25">
      <c r="A102" s="13"/>
      <c r="B102" s="6" t="s">
        <v>42</v>
      </c>
      <c r="C102" s="95"/>
      <c r="D102" s="95"/>
      <c r="E102" s="96"/>
      <c r="F102" s="95"/>
      <c r="I102" s="23"/>
      <c r="J102" s="23"/>
      <c r="K102" s="23"/>
      <c r="L102" s="23"/>
    </row>
    <row r="103" spans="1:12" ht="15" customHeight="1" x14ac:dyDescent="0.25">
      <c r="A103" s="13"/>
      <c r="B103" s="6" t="s">
        <v>141</v>
      </c>
      <c r="C103" s="95"/>
      <c r="D103" s="95"/>
      <c r="E103" s="96"/>
      <c r="F103" s="95"/>
      <c r="I103" s="23"/>
      <c r="J103" s="23"/>
      <c r="K103" s="23"/>
      <c r="L103" s="23"/>
    </row>
    <row r="104" spans="1:12" ht="15" customHeight="1" x14ac:dyDescent="0.25">
      <c r="A104" s="13"/>
      <c r="B104" s="6" t="s">
        <v>142</v>
      </c>
      <c r="C104" s="95"/>
      <c r="D104" s="95"/>
      <c r="E104" s="96"/>
      <c r="F104" s="95"/>
      <c r="I104" s="23"/>
      <c r="J104" s="23"/>
      <c r="K104" s="23"/>
      <c r="L104" s="23"/>
    </row>
    <row r="105" spans="1:12" ht="15" customHeight="1" x14ac:dyDescent="0.25">
      <c r="A105" s="13"/>
      <c r="B105" s="6" t="s">
        <v>43</v>
      </c>
      <c r="C105" s="95"/>
      <c r="D105" s="95"/>
      <c r="E105" s="96"/>
      <c r="F105" s="95"/>
      <c r="I105" s="23"/>
      <c r="J105" s="23"/>
      <c r="K105" s="23"/>
      <c r="L105" s="23"/>
    </row>
    <row r="106" spans="1:12" ht="15" customHeight="1" x14ac:dyDescent="0.25">
      <c r="A106" s="13"/>
      <c r="B106" s="6" t="s">
        <v>44</v>
      </c>
      <c r="C106" s="95"/>
      <c r="D106" s="95"/>
      <c r="E106" s="96"/>
      <c r="F106" s="95"/>
      <c r="G106" s="76"/>
      <c r="I106" s="23"/>
      <c r="J106" s="23"/>
      <c r="K106" s="23"/>
      <c r="L106" s="23"/>
    </row>
    <row r="107" spans="1:12" ht="15" customHeight="1" x14ac:dyDescent="0.25">
      <c r="A107" s="13"/>
      <c r="B107" s="8" t="s">
        <v>45</v>
      </c>
      <c r="C107" s="95"/>
      <c r="D107" s="95"/>
      <c r="E107" s="96"/>
      <c r="F107" s="95"/>
      <c r="G107" s="76"/>
      <c r="I107" s="23"/>
      <c r="J107" s="23"/>
      <c r="K107" s="23"/>
      <c r="L107" s="23"/>
    </row>
    <row r="108" spans="1:12" ht="15" customHeight="1" thickBot="1" x14ac:dyDescent="0.3">
      <c r="A108" s="13"/>
      <c r="B108" s="7" t="s">
        <v>144</v>
      </c>
      <c r="C108" s="97"/>
      <c r="D108" s="97"/>
      <c r="E108" s="98"/>
      <c r="F108" s="95"/>
      <c r="G108" s="76"/>
      <c r="I108" s="23"/>
      <c r="J108" s="23"/>
      <c r="K108" s="23"/>
      <c r="L108" s="23"/>
    </row>
    <row r="109" spans="1:12" ht="15" customHeight="1" x14ac:dyDescent="0.25">
      <c r="A109" s="13"/>
      <c r="B109" s="99"/>
      <c r="C109" s="95"/>
      <c r="D109" s="95"/>
      <c r="E109" s="95"/>
      <c r="F109" s="95"/>
      <c r="G109" s="76"/>
      <c r="I109" s="23"/>
      <c r="J109" s="23"/>
      <c r="K109" s="23"/>
      <c r="L109" s="23"/>
    </row>
    <row r="110" spans="1:12" ht="15" customHeight="1" thickBot="1" x14ac:dyDescent="0.3">
      <c r="A110" s="13"/>
      <c r="B110" s="145" t="s">
        <v>46</v>
      </c>
      <c r="C110" s="146"/>
      <c r="D110" s="100"/>
      <c r="E110" s="101"/>
      <c r="F110" s="101"/>
      <c r="G110" s="76"/>
      <c r="I110" s="23"/>
      <c r="J110" s="23"/>
      <c r="K110" s="23"/>
      <c r="L110" s="23"/>
    </row>
    <row r="111" spans="1:12" ht="15" customHeight="1" x14ac:dyDescent="0.25">
      <c r="A111" s="13"/>
      <c r="B111" s="102" t="s">
        <v>145</v>
      </c>
      <c r="C111" s="103" t="s">
        <v>47</v>
      </c>
      <c r="D111" s="104" t="s">
        <v>48</v>
      </c>
      <c r="E111" s="101"/>
      <c r="F111" s="101"/>
      <c r="G111" s="76"/>
      <c r="I111" s="23"/>
      <c r="J111" s="23"/>
      <c r="K111" s="23"/>
      <c r="L111" s="23"/>
    </row>
    <row r="112" spans="1:12" ht="15" customHeight="1" x14ac:dyDescent="0.25">
      <c r="A112" s="13"/>
      <c r="B112" s="105" t="s">
        <v>49</v>
      </c>
      <c r="C112" s="106">
        <f>G38</f>
        <v>15750000</v>
      </c>
      <c r="D112" s="107">
        <f>(C112/C118)</f>
        <v>0.48946058531586734</v>
      </c>
      <c r="E112" s="108"/>
      <c r="F112" s="101"/>
      <c r="G112" s="76"/>
      <c r="I112" s="23"/>
      <c r="J112" s="23"/>
      <c r="K112" s="23"/>
      <c r="L112" s="23"/>
    </row>
    <row r="113" spans="1:12" ht="15" customHeight="1" x14ac:dyDescent="0.25">
      <c r="A113" s="13"/>
      <c r="B113" s="105" t="s">
        <v>50</v>
      </c>
      <c r="C113" s="109">
        <f>G43</f>
        <v>0</v>
      </c>
      <c r="D113" s="107">
        <v>0</v>
      </c>
      <c r="E113" s="101"/>
      <c r="F113" s="101"/>
      <c r="G113" s="77"/>
      <c r="I113" s="23"/>
      <c r="J113" s="23"/>
      <c r="K113" s="23"/>
      <c r="L113" s="23"/>
    </row>
    <row r="114" spans="1:12" ht="15" customHeight="1" x14ac:dyDescent="0.25">
      <c r="A114" s="13"/>
      <c r="B114" s="105" t="s">
        <v>51</v>
      </c>
      <c r="C114" s="106">
        <f>G48</f>
        <v>108000</v>
      </c>
      <c r="D114" s="107">
        <f>(C114/C118)</f>
        <v>3.3563011564516614E-3</v>
      </c>
      <c r="E114" s="101"/>
      <c r="F114" s="101"/>
      <c r="G114" s="76"/>
      <c r="I114" s="23"/>
      <c r="J114" s="23"/>
      <c r="K114" s="23"/>
      <c r="L114" s="23"/>
    </row>
    <row r="115" spans="1:12" ht="15" customHeight="1" x14ac:dyDescent="0.25">
      <c r="A115" s="13"/>
      <c r="B115" s="105" t="s">
        <v>28</v>
      </c>
      <c r="C115" s="106">
        <f>G84</f>
        <v>13743798.146361591</v>
      </c>
      <c r="D115" s="107">
        <f>(C115/C118)</f>
        <v>0.42711412604325566</v>
      </c>
      <c r="E115" s="101"/>
      <c r="F115" s="101"/>
      <c r="G115" s="76"/>
      <c r="I115" s="23"/>
      <c r="J115" s="23"/>
      <c r="K115" s="23"/>
      <c r="L115" s="23"/>
    </row>
    <row r="116" spans="1:12" ht="15" customHeight="1" x14ac:dyDescent="0.25">
      <c r="A116" s="13"/>
      <c r="B116" s="105" t="s">
        <v>52</v>
      </c>
      <c r="C116" s="110">
        <f>G92</f>
        <v>1044183.2666666666</v>
      </c>
      <c r="D116" s="107">
        <f>(C116/C118)</f>
        <v>3.2449939865377843E-2</v>
      </c>
      <c r="E116" s="111"/>
      <c r="F116" s="111"/>
      <c r="G116" s="76"/>
      <c r="I116" s="23"/>
      <c r="J116" s="23"/>
      <c r="K116" s="23"/>
      <c r="L116" s="23"/>
    </row>
    <row r="117" spans="1:12" ht="15" customHeight="1" x14ac:dyDescent="0.25">
      <c r="A117" s="13"/>
      <c r="B117" s="105" t="s">
        <v>53</v>
      </c>
      <c r="C117" s="110">
        <f>G95</f>
        <v>1532299.0706514129</v>
      </c>
      <c r="D117" s="107">
        <f>(C117/C118)</f>
        <v>4.7619047619047623E-2</v>
      </c>
      <c r="E117" s="111"/>
      <c r="F117" s="111"/>
      <c r="G117" s="76"/>
      <c r="I117" s="23"/>
      <c r="J117" s="23"/>
      <c r="K117" s="23"/>
      <c r="L117" s="23"/>
    </row>
    <row r="118" spans="1:12" ht="12.75" customHeight="1" thickBot="1" x14ac:dyDescent="0.3">
      <c r="A118" s="13"/>
      <c r="B118" s="112" t="s">
        <v>54</v>
      </c>
      <c r="C118" s="142">
        <f>SUM(C112:C117)</f>
        <v>32178280.483679667</v>
      </c>
      <c r="D118" s="113">
        <f>SUM(D112:D117)</f>
        <v>1</v>
      </c>
      <c r="E118" s="111"/>
      <c r="F118" s="111"/>
      <c r="G118" s="76"/>
      <c r="I118" s="23"/>
      <c r="J118" s="23"/>
      <c r="K118" s="23"/>
      <c r="L118" s="23"/>
    </row>
    <row r="119" spans="1:12" ht="11.25" customHeight="1" x14ac:dyDescent="0.25">
      <c r="B119" s="114"/>
      <c r="C119" s="115"/>
      <c r="D119" s="115"/>
      <c r="E119" s="115"/>
      <c r="F119" s="115"/>
    </row>
    <row r="120" spans="1:12" ht="11.25" customHeight="1" thickBot="1" x14ac:dyDescent="0.3">
      <c r="B120" s="114"/>
      <c r="C120" s="115"/>
      <c r="D120" s="115"/>
      <c r="E120" s="115"/>
      <c r="F120" s="115"/>
    </row>
    <row r="121" spans="1:12" ht="11.25" customHeight="1" thickBot="1" x14ac:dyDescent="0.3">
      <c r="B121" s="116"/>
      <c r="C121" s="117" t="s">
        <v>143</v>
      </c>
      <c r="D121" s="118"/>
      <c r="E121" s="119"/>
      <c r="F121" s="115"/>
    </row>
    <row r="122" spans="1:12" ht="11.25" customHeight="1" x14ac:dyDescent="0.25">
      <c r="B122" s="120" t="s">
        <v>109</v>
      </c>
      <c r="C122" s="143">
        <v>125000</v>
      </c>
      <c r="D122" s="143">
        <v>135000</v>
      </c>
      <c r="E122" s="144">
        <v>145000</v>
      </c>
      <c r="F122" s="115"/>
    </row>
    <row r="123" spans="1:12" ht="11.25" customHeight="1" thickBot="1" x14ac:dyDescent="0.3">
      <c r="B123" s="112" t="s">
        <v>147</v>
      </c>
      <c r="C123" s="121">
        <f>(G96/C122)</f>
        <v>257.42624386943731</v>
      </c>
      <c r="D123" s="121">
        <f>(G96/D122)</f>
        <v>238.35763321244198</v>
      </c>
      <c r="E123" s="121">
        <f>G96/E122</f>
        <v>221.91917574951495</v>
      </c>
      <c r="F123" s="115"/>
    </row>
    <row r="124" spans="1:12" ht="11.25" customHeight="1" x14ac:dyDescent="0.25">
      <c r="B124" s="74" t="s">
        <v>146</v>
      </c>
      <c r="C124" s="13"/>
      <c r="D124" s="13"/>
      <c r="E124" s="13"/>
    </row>
  </sheetData>
  <mergeCells count="9">
    <mergeCell ref="B110:C110"/>
    <mergeCell ref="E12:F12"/>
    <mergeCell ref="E10:F10"/>
    <mergeCell ref="E9:F9"/>
    <mergeCell ref="E8:F8"/>
    <mergeCell ref="E13:F13"/>
    <mergeCell ref="E14:F14"/>
    <mergeCell ref="B16:G16"/>
    <mergeCell ref="E11:F11"/>
  </mergeCells>
  <printOptions horizontalCentered="1"/>
  <pageMargins left="0.23622047244094491" right="0.23622047244094491" top="0.23622047244094491" bottom="0.15748031496062992" header="0.19685039370078741" footer="0.15748031496062992"/>
  <pageSetup paperSize="5" scale="90" fitToHeight="0" orientation="portrait" r:id="rId1"/>
  <headerFooter>
    <oddFooter>&amp;C&amp;"Helvetica Neue,Regular"&amp;12&amp;K000000&amp;P</oddFooter>
  </headerFooter>
  <rowBreaks count="2" manualBreakCount="2">
    <brk id="38" max="6" man="1"/>
    <brk id="125" max="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CAC63-FE30-469C-BF97-1F0A042FD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E117A-4368-4160-872A-150CD13BC7FF}">
  <ds:schemaRefs>
    <ds:schemaRef ds:uri="http://schemas.microsoft.com/office/2006/documentManagement/types"/>
    <ds:schemaRef ds:uri="http://purl.org/dc/dcmitype/"/>
    <ds:schemaRef ds:uri="1030f0af-99cb-42f1-88fc-acec7333119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c5dbce2d-49dc-4afe-a5b0-d7fb7a901161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1BE7DA-D012-4B3E-9AD1-B2519FB894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TRAS TOMATE INVERNADERO</vt:lpstr>
      <vt:lpstr>'TOMATE TRAS TOMATE INVERNADERO'!Área_de_impresión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2021-02-24T20:39:17Z</cp:lastPrinted>
  <dcterms:created xsi:type="dcterms:W3CDTF">2020-11-27T12:49:26Z</dcterms:created>
  <dcterms:modified xsi:type="dcterms:W3CDTF">2021-04-06T15:06:27Z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