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dor\Desktop\Agencia de Area Tirua\"/>
    </mc:Choice>
  </mc:AlternateContent>
  <bookViews>
    <workbookView xWindow="0" yWindow="0" windowWidth="20490" windowHeight="7755" firstSheet="2" activeTab="4"/>
  </bookViews>
  <sheets>
    <sheet name="PAPA GUARDA SECANO PATAGONIA" sheetId="1" r:id="rId1"/>
    <sheet name="PAPA GUARDA VEGA PATAGONIA" sheetId="2" r:id="rId2"/>
    <sheet name="PAPA TEMPRANA" sheetId="3" r:id="rId3"/>
    <sheet name="SEMILLERO DE PAPA" sheetId="4" r:id="rId4"/>
    <sheet name="TRIGO ALTERNATIVO" sheetId="5" r:id="rId5"/>
    <sheet name="PRADERA TREBOL-BALLICA" sheetId="6" r:id="rId6"/>
    <sheet name="AVENA DE GRANO" sheetId="7" r:id="rId7"/>
    <sheet name=" FRUTILLA ALBION" sheetId="8" r:id="rId8"/>
    <sheet name="FRUTILLA CAMAROSA" sheetId="9" r:id="rId9"/>
    <sheet name="ARVEJAS VERDE" sheetId="11" r:id="rId10"/>
    <sheet name="FRAMBUESA HERITAGE" sheetId="10" r:id="rId11"/>
  </sheets>
  <definedNames>
    <definedName name="_xlnm.Print_Area" localSheetId="0">'PAPA GUARDA SECANO PATAGONIA'!$A$1:$F$92</definedName>
    <definedName name="_xlnm.Print_Area" localSheetId="4">'TRIGO ALTERNATIVO'!$A$1:$G$88</definedName>
  </definedNames>
  <calcPr calcId="152511"/>
</workbook>
</file>

<file path=xl/calcChain.xml><?xml version="1.0" encoding="utf-8"?>
<calcChain xmlns="http://schemas.openxmlformats.org/spreadsheetml/2006/main">
  <c r="G56" i="5" l="1"/>
  <c r="D78" i="10" l="1"/>
  <c r="C78" i="10"/>
  <c r="B78" i="10"/>
  <c r="B72" i="10"/>
  <c r="B71" i="10"/>
  <c r="B70" i="10"/>
  <c r="B69" i="10"/>
  <c r="B67" i="10"/>
  <c r="F47" i="10"/>
  <c r="F48" i="10" s="1"/>
  <c r="F42" i="10"/>
  <c r="F40" i="10"/>
  <c r="F39" i="10"/>
  <c r="F37" i="10"/>
  <c r="F36" i="10"/>
  <c r="F35" i="10"/>
  <c r="F43" i="10" s="1"/>
  <c r="F29" i="10"/>
  <c r="F30" i="10" s="1"/>
  <c r="F24" i="10"/>
  <c r="F23" i="10"/>
  <c r="F22" i="10"/>
  <c r="F21" i="10"/>
  <c r="F20" i="10"/>
  <c r="F11" i="10"/>
  <c r="F53" i="10" s="1"/>
  <c r="F25" i="10" l="1"/>
  <c r="F50" i="10" s="1"/>
  <c r="F51" i="10"/>
  <c r="D78" i="11"/>
  <c r="C78" i="11"/>
  <c r="B78" i="11"/>
  <c r="B72" i="11"/>
  <c r="B70" i="11"/>
  <c r="B69" i="11"/>
  <c r="B68" i="11"/>
  <c r="B67" i="11"/>
  <c r="F50" i="11"/>
  <c r="F48" i="11"/>
  <c r="F42" i="11"/>
  <c r="F41" i="11"/>
  <c r="F40" i="11"/>
  <c r="F39" i="11"/>
  <c r="F34" i="11"/>
  <c r="F33" i="11"/>
  <c r="F35" i="11" s="1"/>
  <c r="F28" i="11"/>
  <c r="F27" i="11"/>
  <c r="F29" i="11" s="1"/>
  <c r="F22" i="11"/>
  <c r="F21" i="11"/>
  <c r="F20" i="11"/>
  <c r="F11" i="11"/>
  <c r="F53" i="11" s="1"/>
  <c r="F52" i="10" l="1"/>
  <c r="F54" i="10" s="1"/>
  <c r="F43" i="11"/>
  <c r="F23" i="11"/>
  <c r="F60" i="9"/>
  <c r="F59" i="9"/>
  <c r="F58" i="9"/>
  <c r="F57" i="9"/>
  <c r="F56" i="9"/>
  <c r="F55" i="9"/>
  <c r="F54" i="9"/>
  <c r="F53" i="9"/>
  <c r="F52" i="9"/>
  <c r="F51" i="9"/>
  <c r="F50" i="9"/>
  <c r="F49" i="9"/>
  <c r="F61" i="9" s="1"/>
  <c r="F44" i="9"/>
  <c r="F43" i="9"/>
  <c r="F41" i="9"/>
  <c r="F45" i="9" s="1"/>
  <c r="F90" i="9" s="1"/>
  <c r="F35" i="9"/>
  <c r="F34" i="9"/>
  <c r="F36" i="9" s="1"/>
  <c r="F33" i="9"/>
  <c r="F27" i="9"/>
  <c r="C26" i="9"/>
  <c r="F26" i="9" s="1"/>
  <c r="F25" i="9"/>
  <c r="F24" i="9"/>
  <c r="F23" i="9"/>
  <c r="F22" i="9"/>
  <c r="F21" i="9"/>
  <c r="F20" i="9"/>
  <c r="F28" i="9" s="1"/>
  <c r="B108" i="9"/>
  <c r="F87" i="9"/>
  <c r="F86" i="9"/>
  <c r="F85" i="9"/>
  <c r="F84" i="9"/>
  <c r="F83" i="9"/>
  <c r="F82" i="9"/>
  <c r="F81" i="9"/>
  <c r="F80" i="9"/>
  <c r="F79" i="9"/>
  <c r="F78" i="9"/>
  <c r="F77" i="9"/>
  <c r="F76" i="9"/>
  <c r="F88" i="9" s="1"/>
  <c r="E70" i="9"/>
  <c r="F70" i="9" s="1"/>
  <c r="E69" i="9"/>
  <c r="F69" i="9" s="1"/>
  <c r="B109" i="9"/>
  <c r="F11" i="9"/>
  <c r="F93" i="9" s="1"/>
  <c r="F66" i="9" l="1"/>
  <c r="F63" i="9"/>
  <c r="B107" i="9"/>
  <c r="B111" i="9"/>
  <c r="F51" i="11" l="1"/>
  <c r="F52" i="11"/>
  <c r="F54" i="11" s="1"/>
  <c r="B73" i="11"/>
  <c r="F64" i="9"/>
  <c r="C71" i="11" l="1"/>
  <c r="C68" i="11"/>
  <c r="C70" i="11"/>
  <c r="C69" i="11"/>
  <c r="C67" i="11"/>
  <c r="C72" i="11"/>
  <c r="F65" i="9"/>
  <c r="F67" i="9" s="1"/>
  <c r="C73" i="11" l="1"/>
  <c r="B73" i="10"/>
  <c r="F71" i="9"/>
  <c r="B111" i="8"/>
  <c r="B109" i="8"/>
  <c r="B108" i="8"/>
  <c r="B107" i="8"/>
  <c r="F93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E70" i="8"/>
  <c r="F70" i="8" s="1"/>
  <c r="F69" i="8"/>
  <c r="E69" i="8"/>
  <c r="F68" i="8"/>
  <c r="F67" i="8"/>
  <c r="E66" i="8"/>
  <c r="F66" i="8" s="1"/>
  <c r="F65" i="8"/>
  <c r="E64" i="8"/>
  <c r="F64" i="8" s="1"/>
  <c r="F63" i="8"/>
  <c r="E62" i="8"/>
  <c r="F62" i="8" s="1"/>
  <c r="F61" i="8"/>
  <c r="E61" i="8"/>
  <c r="E60" i="8"/>
  <c r="F60" i="8" s="1"/>
  <c r="E59" i="8"/>
  <c r="F59" i="8" s="1"/>
  <c r="E58" i="8"/>
  <c r="F58" i="8" s="1"/>
  <c r="F57" i="8"/>
  <c r="E56" i="8"/>
  <c r="F56" i="8" s="1"/>
  <c r="E55" i="8"/>
  <c r="F55" i="8" s="1"/>
  <c r="E54" i="8"/>
  <c r="F54" i="8" s="1"/>
  <c r="E53" i="8"/>
  <c r="F53" i="8" s="1"/>
  <c r="E52" i="8"/>
  <c r="F52" i="8" s="1"/>
  <c r="E51" i="8"/>
  <c r="F51" i="8" s="1"/>
  <c r="E50" i="8"/>
  <c r="F50" i="8" s="1"/>
  <c r="E49" i="8"/>
  <c r="F49" i="8" s="1"/>
  <c r="F48" i="8"/>
  <c r="F47" i="8"/>
  <c r="F71" i="8" s="1"/>
  <c r="B110" i="8" s="1"/>
  <c r="F42" i="8"/>
  <c r="F41" i="8"/>
  <c r="F40" i="8"/>
  <c r="F39" i="8"/>
  <c r="F38" i="8"/>
  <c r="F43" i="8" s="1"/>
  <c r="F37" i="8"/>
  <c r="F27" i="8"/>
  <c r="F26" i="8"/>
  <c r="F25" i="8"/>
  <c r="F24" i="8"/>
  <c r="F23" i="8"/>
  <c r="F22" i="8"/>
  <c r="F21" i="8"/>
  <c r="F20" i="8"/>
  <c r="F28" i="8" s="1"/>
  <c r="F11" i="8"/>
  <c r="C68" i="10" l="1"/>
  <c r="C69" i="10"/>
  <c r="C71" i="10"/>
  <c r="C67" i="10"/>
  <c r="C72" i="10"/>
  <c r="C70" i="10"/>
  <c r="B110" i="9"/>
  <c r="F90" i="8"/>
  <c r="C73" i="10" l="1"/>
  <c r="F91" i="9"/>
  <c r="B112" i="9" s="1"/>
  <c r="F91" i="8"/>
  <c r="F92" i="9" l="1"/>
  <c r="D118" i="9" s="1"/>
  <c r="B113" i="9"/>
  <c r="C112" i="9" s="1"/>
  <c r="F92" i="8"/>
  <c r="B112" i="8"/>
  <c r="F94" i="9" l="1"/>
  <c r="B118" i="9"/>
  <c r="C118" i="9"/>
  <c r="C108" i="9"/>
  <c r="C107" i="9"/>
  <c r="C111" i="9"/>
  <c r="C109" i="9"/>
  <c r="C110" i="9"/>
  <c r="B113" i="8"/>
  <c r="C112" i="8"/>
  <c r="F94" i="8"/>
  <c r="C118" i="8"/>
  <c r="D118" i="8"/>
  <c r="B118" i="8"/>
  <c r="C113" i="9" l="1"/>
  <c r="C111" i="8"/>
  <c r="C109" i="8"/>
  <c r="C108" i="8"/>
  <c r="C110" i="8"/>
  <c r="C107" i="8"/>
  <c r="C113" i="8" s="1"/>
  <c r="C77" i="7"/>
  <c r="B82" i="7"/>
  <c r="C88" i="7"/>
  <c r="D88" i="7"/>
  <c r="B88" i="7"/>
  <c r="B80" i="7"/>
  <c r="B79" i="7"/>
  <c r="B78" i="7"/>
  <c r="B77" i="7"/>
  <c r="F63" i="7"/>
  <c r="F58" i="7"/>
  <c r="F52" i="7"/>
  <c r="F51" i="7"/>
  <c r="F49" i="7"/>
  <c r="F47" i="7"/>
  <c r="F46" i="7"/>
  <c r="F44" i="7"/>
  <c r="F53" i="7" s="1"/>
  <c r="F38" i="7"/>
  <c r="F37" i="7"/>
  <c r="F39" i="7" s="1"/>
  <c r="F36" i="7"/>
  <c r="F35" i="7"/>
  <c r="F30" i="7"/>
  <c r="F25" i="7"/>
  <c r="F24" i="7"/>
  <c r="F23" i="7"/>
  <c r="F22" i="7"/>
  <c r="F21" i="7"/>
  <c r="F20" i="7"/>
  <c r="F11" i="7"/>
  <c r="B77" i="6"/>
  <c r="B75" i="6"/>
  <c r="B74" i="6"/>
  <c r="B73" i="6"/>
  <c r="F53" i="6"/>
  <c r="F54" i="6" s="1"/>
  <c r="F47" i="6"/>
  <c r="F46" i="6"/>
  <c r="F44" i="6"/>
  <c r="F43" i="6"/>
  <c r="F41" i="6"/>
  <c r="F40" i="6"/>
  <c r="F34" i="6"/>
  <c r="F33" i="6"/>
  <c r="F35" i="6" s="1"/>
  <c r="F28" i="6"/>
  <c r="F29" i="6" s="1"/>
  <c r="F23" i="6"/>
  <c r="F22" i="6"/>
  <c r="F21" i="6"/>
  <c r="F20" i="6"/>
  <c r="F24" i="6" s="1"/>
  <c r="F26" i="7" l="1"/>
  <c r="F31" i="7"/>
  <c r="F60" i="7" s="1"/>
  <c r="F49" i="6"/>
  <c r="F61" i="7" l="1"/>
  <c r="F62" i="7"/>
  <c r="F64" i="7" s="1"/>
  <c r="F56" i="6"/>
  <c r="F57" i="6" s="1"/>
  <c r="B76" i="6"/>
  <c r="B83" i="7" l="1"/>
  <c r="F58" i="6"/>
  <c r="B78" i="6"/>
  <c r="B79" i="6"/>
  <c r="F60" i="6"/>
  <c r="F11" i="6"/>
  <c r="F59" i="6" s="1"/>
  <c r="C81" i="7" l="1"/>
  <c r="C82" i="7"/>
  <c r="C78" i="7"/>
  <c r="C79" i="7"/>
  <c r="C80" i="7"/>
  <c r="D84" i="6"/>
  <c r="B84" i="6"/>
  <c r="C84" i="6"/>
  <c r="G11" i="5"/>
  <c r="G57" i="5"/>
  <c r="G50" i="5"/>
  <c r="G49" i="5"/>
  <c r="G47" i="5"/>
  <c r="G46" i="5"/>
  <c r="G44" i="5"/>
  <c r="G38" i="5"/>
  <c r="G37" i="5"/>
  <c r="G36" i="5"/>
  <c r="G35" i="5"/>
  <c r="G30" i="5"/>
  <c r="G31" i="5" s="1"/>
  <c r="G25" i="5"/>
  <c r="G24" i="5"/>
  <c r="G23" i="5"/>
  <c r="G22" i="5"/>
  <c r="G21" i="5"/>
  <c r="G20" i="5"/>
  <c r="C77" i="5" l="1"/>
  <c r="C83" i="7"/>
  <c r="G39" i="5"/>
  <c r="C78" i="5" s="1"/>
  <c r="G26" i="5"/>
  <c r="C76" i="5" s="1"/>
  <c r="G52" i="5"/>
  <c r="C79" i="5" s="1"/>
  <c r="G59" i="5" l="1"/>
  <c r="G60" i="5" s="1"/>
  <c r="C77" i="6" l="1"/>
  <c r="C75" i="6"/>
  <c r="C74" i="6"/>
  <c r="C76" i="6"/>
  <c r="C73" i="6"/>
  <c r="C78" i="6"/>
  <c r="G61" i="5"/>
  <c r="C81" i="5"/>
  <c r="D87" i="5" l="1"/>
  <c r="E87" i="5"/>
  <c r="C87" i="5"/>
  <c r="C79" i="6"/>
  <c r="G62" i="5"/>
  <c r="G63" i="5" s="1"/>
  <c r="B83" i="4" l="1"/>
  <c r="F56" i="4"/>
  <c r="F54" i="4"/>
  <c r="F53" i="4"/>
  <c r="F51" i="4"/>
  <c r="F50" i="4"/>
  <c r="F48" i="4"/>
  <c r="F47" i="4"/>
  <c r="F41" i="4"/>
  <c r="F40" i="4"/>
  <c r="F39" i="4"/>
  <c r="F42" i="4" s="1"/>
  <c r="F34" i="4"/>
  <c r="F33" i="4"/>
  <c r="F32" i="4"/>
  <c r="F31" i="4"/>
  <c r="F30" i="4"/>
  <c r="F25" i="4"/>
  <c r="F24" i="4"/>
  <c r="F23" i="4"/>
  <c r="F22" i="4"/>
  <c r="F21" i="4"/>
  <c r="F20" i="4"/>
  <c r="C82" i="5" l="1"/>
  <c r="D76" i="5" s="1"/>
  <c r="F57" i="4"/>
  <c r="B84" i="4" s="1"/>
  <c r="F26" i="4"/>
  <c r="F35" i="4"/>
  <c r="B82" i="4" s="1"/>
  <c r="D78" i="5" l="1"/>
  <c r="D77" i="5"/>
  <c r="D80" i="5"/>
  <c r="D79" i="5"/>
  <c r="D81" i="5"/>
  <c r="B81" i="4"/>
  <c r="F64" i="4"/>
  <c r="F65" i="4" s="1"/>
  <c r="D82" i="5" l="1"/>
  <c r="F66" i="4"/>
  <c r="B86" i="4"/>
  <c r="C92" i="4" l="1"/>
  <c r="B92" i="4"/>
  <c r="D92" i="4"/>
  <c r="D93" i="4" l="1"/>
  <c r="C93" i="4"/>
  <c r="B93" i="4"/>
  <c r="F11" i="4"/>
  <c r="F67" i="4" s="1"/>
  <c r="F68" i="4" s="1"/>
  <c r="C86" i="3"/>
  <c r="D86" i="3"/>
  <c r="B86" i="3"/>
  <c r="C80" i="3"/>
  <c r="C78" i="3"/>
  <c r="C77" i="3"/>
  <c r="C76" i="3"/>
  <c r="C75" i="3"/>
  <c r="B80" i="3"/>
  <c r="B78" i="3"/>
  <c r="B77" i="3"/>
  <c r="B76" i="3"/>
  <c r="B75" i="3"/>
  <c r="F43" i="3"/>
  <c r="F44" i="3"/>
  <c r="F45" i="3"/>
  <c r="F46" i="3"/>
  <c r="F47" i="3"/>
  <c r="F48" i="3"/>
  <c r="F49" i="3"/>
  <c r="F50" i="3"/>
  <c r="F42" i="3"/>
  <c r="F52" i="2"/>
  <c r="F59" i="3"/>
  <c r="F63" i="2"/>
  <c r="F64" i="2" s="1"/>
  <c r="F58" i="3"/>
  <c r="F11" i="3"/>
  <c r="F61" i="3" s="1"/>
  <c r="F62" i="3" s="1"/>
  <c r="B83" i="2"/>
  <c r="F60" i="2"/>
  <c r="F54" i="2"/>
  <c r="F50" i="2"/>
  <c r="F49" i="2"/>
  <c r="F47" i="2"/>
  <c r="F46" i="2"/>
  <c r="F40" i="2"/>
  <c r="F39" i="2"/>
  <c r="F41" i="2" s="1"/>
  <c r="B81" i="2" s="1"/>
  <c r="F34" i="2"/>
  <c r="F33" i="2"/>
  <c r="F32" i="2"/>
  <c r="F31" i="2"/>
  <c r="F30" i="2"/>
  <c r="F35" i="2" s="1"/>
  <c r="B80" i="2" s="1"/>
  <c r="F26" i="2"/>
  <c r="B79" i="2" s="1"/>
  <c r="F25" i="2"/>
  <c r="F24" i="2"/>
  <c r="F23" i="2"/>
  <c r="F22" i="2"/>
  <c r="F21" i="2"/>
  <c r="F20" i="2"/>
  <c r="F11" i="2"/>
  <c r="F65" i="2" s="1"/>
  <c r="B83" i="1"/>
  <c r="B87" i="4" l="1"/>
  <c r="C84" i="4" s="1"/>
  <c r="F55" i="2"/>
  <c r="B82" i="2" s="1"/>
  <c r="F60" i="1"/>
  <c r="F54" i="1"/>
  <c r="F52" i="1"/>
  <c r="F50" i="1"/>
  <c r="F49" i="1"/>
  <c r="F47" i="1"/>
  <c r="F46" i="1"/>
  <c r="F40" i="1"/>
  <c r="F39" i="1"/>
  <c r="F41" i="1" s="1"/>
  <c r="B81" i="1" s="1"/>
  <c r="F34" i="1"/>
  <c r="F33" i="1"/>
  <c r="F32" i="1"/>
  <c r="F31" i="1"/>
  <c r="F30" i="1"/>
  <c r="F25" i="1"/>
  <c r="F24" i="1"/>
  <c r="F23" i="1"/>
  <c r="F22" i="1"/>
  <c r="F21" i="1"/>
  <c r="F20" i="1"/>
  <c r="C82" i="4" l="1"/>
  <c r="C81" i="4"/>
  <c r="C86" i="4"/>
  <c r="C83" i="4"/>
  <c r="B81" i="3"/>
  <c r="F62" i="2"/>
  <c r="B84" i="2" s="1"/>
  <c r="F55" i="1"/>
  <c r="B82" i="1" s="1"/>
  <c r="F26" i="1"/>
  <c r="B79" i="1" s="1"/>
  <c r="F35" i="1"/>
  <c r="B80" i="1" s="1"/>
  <c r="C87" i="4" l="1"/>
  <c r="C81" i="3"/>
  <c r="D90" i="2"/>
  <c r="D91" i="2" s="1"/>
  <c r="B85" i="2"/>
  <c r="F62" i="1"/>
  <c r="F63" i="1" s="1"/>
  <c r="D87" i="3" l="1"/>
  <c r="C87" i="3"/>
  <c r="B87" i="3"/>
  <c r="C90" i="2"/>
  <c r="C91" i="2" s="1"/>
  <c r="F66" i="2"/>
  <c r="B90" i="2"/>
  <c r="B91" i="2" s="1"/>
  <c r="C83" i="2"/>
  <c r="C82" i="2"/>
  <c r="C79" i="2"/>
  <c r="C80" i="2"/>
  <c r="C81" i="2"/>
  <c r="C84" i="2"/>
  <c r="F64" i="1"/>
  <c r="B84" i="1"/>
  <c r="B85" i="1" s="1"/>
  <c r="F11" i="1"/>
  <c r="F65" i="1" s="1"/>
  <c r="C85" i="2" l="1"/>
  <c r="C82" i="1"/>
  <c r="C80" i="1"/>
  <c r="D90" i="1"/>
  <c r="D91" i="1" s="1"/>
  <c r="B90" i="1"/>
  <c r="B91" i="1" s="1"/>
  <c r="C90" i="1"/>
  <c r="C91" i="1" s="1"/>
  <c r="F66" i="1"/>
  <c r="C79" i="1"/>
  <c r="C83" i="1"/>
  <c r="C84" i="1"/>
  <c r="C81" i="1"/>
  <c r="C85" i="1" l="1"/>
</calcChain>
</file>

<file path=xl/sharedStrings.xml><?xml version="1.0" encoding="utf-8"?>
<sst xmlns="http://schemas.openxmlformats.org/spreadsheetml/2006/main" count="1757" uniqueCount="390">
  <si>
    <t>RUBRO O CULTIVO</t>
  </si>
  <si>
    <t>VARIEDAD</t>
  </si>
  <si>
    <t>FECHA ESTIMADA  PRECIO VENTA</t>
  </si>
  <si>
    <t>NIVEL TECNOLÓGICO</t>
  </si>
  <si>
    <t>Medio</t>
  </si>
  <si>
    <t>REGIÓN</t>
  </si>
  <si>
    <t>INGRESO ESPERADO, con IVA ($)</t>
  </si>
  <si>
    <t>AGENCIA DE ÁREA</t>
  </si>
  <si>
    <t>DESTINO PRODUCCION</t>
  </si>
  <si>
    <t>COMUNA/LOCALIDAD</t>
  </si>
  <si>
    <t>FECHA DE COSECHA</t>
  </si>
  <si>
    <t>FECHA PRECIO INSUMOS</t>
  </si>
  <si>
    <t>CONTINGENCIA</t>
  </si>
  <si>
    <t>Heladas - sequia</t>
  </si>
  <si>
    <t>COSTOS DIRECTOS DE PRODUCCIÓN POR HECTÁREA (INCLUYE IVA)</t>
  </si>
  <si>
    <t>MANO DE OBRA</t>
  </si>
  <si>
    <t>Labores</t>
  </si>
  <si>
    <t>Unidad</t>
  </si>
  <si>
    <t>N° Jornadas</t>
  </si>
  <si>
    <t>Época (Mes)</t>
  </si>
  <si>
    <t xml:space="preserve"> Precio Unitario ($) </t>
  </si>
  <si>
    <t xml:space="preserve"> Sub Total ($) </t>
  </si>
  <si>
    <t>JH</t>
  </si>
  <si>
    <t>Subtotal Jornadas Hombre</t>
  </si>
  <si>
    <t>JORNADAS ANIMAL</t>
  </si>
  <si>
    <t>Subtotal Jornadas Animal</t>
  </si>
  <si>
    <t>MAQUINARIA</t>
  </si>
  <si>
    <t>Aradura</t>
  </si>
  <si>
    <t>Agosto-Septiembre</t>
  </si>
  <si>
    <t>Octubre-Noviembre</t>
  </si>
  <si>
    <t>INSUMOS</t>
  </si>
  <si>
    <t>Insumos</t>
  </si>
  <si>
    <t>Unidad (Kg/l/u)</t>
  </si>
  <si>
    <t>Cantidad (Kg/l/u)</t>
  </si>
  <si>
    <t>FERTILIZANTES</t>
  </si>
  <si>
    <t>Kg</t>
  </si>
  <si>
    <t>Subtotal Insumos</t>
  </si>
  <si>
    <t>OTROS</t>
  </si>
  <si>
    <t>Item</t>
  </si>
  <si>
    <t>Subtotal Otros</t>
  </si>
  <si>
    <t>TOTAL COSTOS DIRECTOS</t>
  </si>
  <si>
    <t>Más Imprevistos (5%)</t>
  </si>
  <si>
    <t>TOTAL COSTOS</t>
  </si>
  <si>
    <t>INGRESOS ESPERADOS</t>
  </si>
  <si>
    <t>RESULTADO ECONOMICO</t>
  </si>
  <si>
    <r>
      <rPr>
        <b/>
        <u/>
        <sz val="7"/>
        <color indexed="8"/>
        <rFont val="Calibri"/>
        <family val="2"/>
      </rPr>
      <t>Notas</t>
    </r>
    <r>
      <rPr>
        <b/>
        <sz val="7"/>
        <color indexed="8"/>
        <rFont val="Calibri"/>
        <family val="2"/>
      </rPr>
      <t>:</t>
    </r>
  </si>
  <si>
    <t>1. Precios de insumos y productos se expresan con IVA.</t>
  </si>
  <si>
    <t>2.  Precio de Insumos corresponde a  precios  colocados en el predio</t>
  </si>
  <si>
    <t>3. Precio esperado por ventas corresponde a precio colocado en el domicilio del comprador, ( incluye Ingreso a Feria)</t>
  </si>
  <si>
    <t>4. Los insumos aplicados (tipo y dosis) son referenciales y deben correspoder al territorio en particular</t>
  </si>
  <si>
    <t>5. El costo de la maquinaria incluye costo del operador, combustible y  arriendo de la maquinaria propiamente tal</t>
  </si>
  <si>
    <t>6. El  costo de la mano de obra incluye impuestos e  imposiciones</t>
  </si>
  <si>
    <t>COMPOSICION COSTOS DE PRODUCCION</t>
  </si>
  <si>
    <t>$/hà</t>
  </si>
  <si>
    <t>%</t>
  </si>
  <si>
    <t>Mano de obra</t>
  </si>
  <si>
    <t>Jornada Animal</t>
  </si>
  <si>
    <t>Maquinaria</t>
  </si>
  <si>
    <t>Otros</t>
  </si>
  <si>
    <t>Imprevistos</t>
  </si>
  <si>
    <t>COSTO TOTAL/hà.</t>
  </si>
  <si>
    <t>ESCENARIOS COSTO UNITARIO  ($/qqm)</t>
  </si>
  <si>
    <t>(*): Este valor representa el valor mìnimo de venta del producto</t>
  </si>
  <si>
    <t>JA</t>
  </si>
  <si>
    <t>PATAGONIA</t>
  </si>
  <si>
    <t>BIO BIO</t>
  </si>
  <si>
    <t>TIRUA</t>
  </si>
  <si>
    <t>RENDIMIENTO (ton/Há.)</t>
  </si>
  <si>
    <t>Abril de 2022</t>
  </si>
  <si>
    <t>autoconsumo</t>
  </si>
  <si>
    <t>Cruza con arado de fierro o palo</t>
  </si>
  <si>
    <t>melgadura</t>
  </si>
  <si>
    <t>Agosto-Octubre</t>
  </si>
  <si>
    <t>Siembra y fertilización</t>
  </si>
  <si>
    <t>Aporca</t>
  </si>
  <si>
    <t>Aplicación agroquímicos  manual</t>
  </si>
  <si>
    <t>Cosecha ( costo por saco)</t>
  </si>
  <si>
    <t>unidad</t>
  </si>
  <si>
    <t>Enero-Abril</t>
  </si>
  <si>
    <t>Cruza con arado de fierro o madera</t>
  </si>
  <si>
    <t xml:space="preserve">Rastraje pre-siembra </t>
  </si>
  <si>
    <t>Melgadura</t>
  </si>
  <si>
    <t>traslado a bodega</t>
  </si>
  <si>
    <t>Enero-Febrero</t>
  </si>
  <si>
    <t>HM</t>
  </si>
  <si>
    <t>Mayo-Agosto</t>
  </si>
  <si>
    <t>Rastraje (2)</t>
  </si>
  <si>
    <t>Junio-Octubre</t>
  </si>
  <si>
    <t xml:space="preserve">Subtotal Costo Maquinaria </t>
  </si>
  <si>
    <t xml:space="preserve">HERBICIDA </t>
  </si>
  <si>
    <t>BARBECHO QUIMICO</t>
  </si>
  <si>
    <t>LT</t>
  </si>
  <si>
    <t>Bectra/sencor (control malezas)</t>
  </si>
  <si>
    <t>Lt</t>
  </si>
  <si>
    <t>Noviembre Enero</t>
  </si>
  <si>
    <t>FUNGICIDA</t>
  </si>
  <si>
    <t>FUNGIZEB,MANCOZEB,INFINITO,MOXAN</t>
  </si>
  <si>
    <t>Diciembre-Enero</t>
  </si>
  <si>
    <t>SEMILLA (propia)</t>
  </si>
  <si>
    <t>Mezcla N.P.K</t>
  </si>
  <si>
    <t>octubre-Noviembre</t>
  </si>
  <si>
    <t>Sacos</t>
  </si>
  <si>
    <t>Un</t>
  </si>
  <si>
    <t>Febrero Marzo</t>
  </si>
  <si>
    <t>Fuente: INDAP</t>
  </si>
  <si>
    <t>PRECIO ESPERADO ($/tonelada)</t>
  </si>
  <si>
    <t>Costo unitario ($/ton) (*)</t>
  </si>
  <si>
    <t>Rendimiento (ton/hà)</t>
  </si>
  <si>
    <t>Costo unitario ($/sacos 25 kg) (*)</t>
  </si>
  <si>
    <t>PAPA GUARDA VEGA</t>
  </si>
  <si>
    <t>AGOSTO de 2022</t>
  </si>
  <si>
    <t>PAPA  TEMPRANA</t>
  </si>
  <si>
    <t>DICIEMBRE de 2021</t>
  </si>
  <si>
    <t>DICIOEMBRE de 2021</t>
  </si>
  <si>
    <t>abril de 2022</t>
  </si>
  <si>
    <t>Julio-Septiembre</t>
  </si>
  <si>
    <t>Octubre</t>
  </si>
  <si>
    <t>Septiembre-Noviembre</t>
  </si>
  <si>
    <t>Cosecha</t>
  </si>
  <si>
    <t>Diciembre</t>
  </si>
  <si>
    <t>Rastraje</t>
  </si>
  <si>
    <t>Septiembre -Octubre</t>
  </si>
  <si>
    <t>Cosecha y traslado</t>
  </si>
  <si>
    <r>
      <t xml:space="preserve">Aradura </t>
    </r>
    <r>
      <rPr>
        <sz val="8"/>
        <rFont val="Helvetica Neue"/>
        <family val="2"/>
        <scheme val="minor"/>
      </rPr>
      <t>(ARADO CINCEL DOBLE PASADA)</t>
    </r>
  </si>
  <si>
    <t>Abril-agosto</t>
  </si>
  <si>
    <t>Septiembre - Noviembre</t>
  </si>
  <si>
    <t>Abril-Agosto</t>
  </si>
  <si>
    <t>Septiembre-Octubre</t>
  </si>
  <si>
    <t>Septiembre -Noviembre</t>
  </si>
  <si>
    <t xml:space="preserve">SEMILLERO DE PAPA  </t>
  </si>
  <si>
    <t>traslado</t>
  </si>
  <si>
    <t>Aradura vertedera o disco</t>
  </si>
  <si>
    <t>aradura cincel (2)</t>
  </si>
  <si>
    <t>Mayo-septiembre</t>
  </si>
  <si>
    <t>HERBICIDA</t>
  </si>
  <si>
    <t>junio - Agosto</t>
  </si>
  <si>
    <t>octubre - Noviembre</t>
  </si>
  <si>
    <t>octubre-Enero</t>
  </si>
  <si>
    <t>SEMILLA certificada</t>
  </si>
  <si>
    <t>septiembre-octubre</t>
  </si>
  <si>
    <t>CARBONATO DE CALCIO</t>
  </si>
  <si>
    <t>junio-Agosto</t>
  </si>
  <si>
    <t>rogin</t>
  </si>
  <si>
    <t>SEMILLAS</t>
  </si>
  <si>
    <t>MARZO -  ABRIL de 2022</t>
  </si>
  <si>
    <t>ABRIL - AGOSTO de 2022</t>
  </si>
  <si>
    <t>TRIGO ALTERNATIVO</t>
  </si>
  <si>
    <t>CRACK BAER</t>
  </si>
  <si>
    <t>RENDIMIENTO (QQ/Há.)</t>
  </si>
  <si>
    <t>PRECIO ESPERADO ($/QQ)</t>
  </si>
  <si>
    <t>febrero de 2022</t>
  </si>
  <si>
    <t xml:space="preserve"> sequia</t>
  </si>
  <si>
    <t>Desinfeccion semilla</t>
  </si>
  <si>
    <t>junio-agosto</t>
  </si>
  <si>
    <t>Siembra</t>
  </si>
  <si>
    <t>Aplic. Herbicida</t>
  </si>
  <si>
    <t>Aplic. Nitrogeno</t>
  </si>
  <si>
    <t>Trilla</t>
  </si>
  <si>
    <t>Enero-marzo</t>
  </si>
  <si>
    <t>Guarda cosecha</t>
  </si>
  <si>
    <t>Guarda  cosecha</t>
  </si>
  <si>
    <t>febrero-marzo</t>
  </si>
  <si>
    <t>JM</t>
  </si>
  <si>
    <t>Abril</t>
  </si>
  <si>
    <t>Siembra y fertilizacion</t>
  </si>
  <si>
    <t>Trilla máquina</t>
  </si>
  <si>
    <t>Febrero-marzo</t>
  </si>
  <si>
    <t xml:space="preserve">Subtotal Maquinaria </t>
  </si>
  <si>
    <t>Trigo</t>
  </si>
  <si>
    <t>KG</t>
  </si>
  <si>
    <t>Junio-Agosto</t>
  </si>
  <si>
    <t>MEZCLA (N,P,K))</t>
  </si>
  <si>
    <t>Mayo</t>
  </si>
  <si>
    <t>NITROMAG</t>
  </si>
  <si>
    <t>Agosto</t>
  </si>
  <si>
    <t>Ajax  SOBRE</t>
  </si>
  <si>
    <t>SOBRE</t>
  </si>
  <si>
    <t>MCPA</t>
  </si>
  <si>
    <t>lt</t>
  </si>
  <si>
    <t>SACOS</t>
  </si>
  <si>
    <t>Enero-Marzo</t>
  </si>
  <si>
    <t xml:space="preserve">Subtotal Insumos </t>
  </si>
  <si>
    <t>PRADERA TREBOL/BALLICA</t>
  </si>
  <si>
    <t>NUI-QUIÑEQUELI-TOLTEN</t>
  </si>
  <si>
    <t>RENDIMIENTO (FARDOS/Há.)</t>
  </si>
  <si>
    <t>Aplicación herbicida barbecho</t>
  </si>
  <si>
    <t>Marzo</t>
  </si>
  <si>
    <t>Aplicación fertilizante</t>
  </si>
  <si>
    <t>Siembra manual</t>
  </si>
  <si>
    <t>Marzo- Abril</t>
  </si>
  <si>
    <t>Aplicación herbicida post emergencia</t>
  </si>
  <si>
    <t>Sept</t>
  </si>
  <si>
    <t>Rastraje rama</t>
  </si>
  <si>
    <t>Rastrajes</t>
  </si>
  <si>
    <t xml:space="preserve">Subtotal Costo  Maquinaria </t>
  </si>
  <si>
    <t>Rango</t>
  </si>
  <si>
    <t>Mcpa</t>
  </si>
  <si>
    <t>SEMILLA</t>
  </si>
  <si>
    <t>Trebol</t>
  </si>
  <si>
    <t>Ballica</t>
  </si>
  <si>
    <t>SFT</t>
  </si>
  <si>
    <t>Nitromag</t>
  </si>
  <si>
    <t>COSECHA (ENFARDADURA)</t>
  </si>
  <si>
    <t>UNIDAD</t>
  </si>
  <si>
    <t>ENERO-FEBRERO</t>
  </si>
  <si>
    <t>Rendimiento (FARDOS/hà)</t>
  </si>
  <si>
    <t>Costo unitario ($/FARDOS (*)</t>
  </si>
  <si>
    <t>Costo unitario ($QQ (*)</t>
  </si>
  <si>
    <t>PAPA GUARDA</t>
  </si>
  <si>
    <t>PRODUCCION ANIMAL</t>
  </si>
  <si>
    <t>AVENA DE GRANO</t>
  </si>
  <si>
    <t>URANO</t>
  </si>
  <si>
    <t>febrero - marzode 2022</t>
  </si>
  <si>
    <t>Enero - marzo</t>
  </si>
  <si>
    <t>Carreta y Bueyes</t>
  </si>
  <si>
    <t>Avena</t>
  </si>
  <si>
    <t>kg</t>
  </si>
  <si>
    <t>Mezcla completa</t>
  </si>
  <si>
    <t>Septiembre. Octubre</t>
  </si>
  <si>
    <t>l</t>
  </si>
  <si>
    <t>Desinfeccion de semilla (sobre)</t>
  </si>
  <si>
    <t>u</t>
  </si>
  <si>
    <t>Marzo-Mayo</t>
  </si>
  <si>
    <t>autoconsumo. Prod. animal</t>
  </si>
  <si>
    <t>FRUTILLA</t>
  </si>
  <si>
    <t>ALBION</t>
  </si>
  <si>
    <t>PRECIO ESPERADO ($/KILOS)</t>
  </si>
  <si>
    <t>RENDIMIENTO KILOS/Há.)</t>
  </si>
  <si>
    <t>VENTA MERCADO LOCAL</t>
  </si>
  <si>
    <t>HELADA- ESCACES DE RIEGO DEFICIENTE</t>
  </si>
  <si>
    <t>Colocacion mulch</t>
  </si>
  <si>
    <t>Ene- Feb</t>
  </si>
  <si>
    <t>Plantacion</t>
  </si>
  <si>
    <t>Ene-Mar</t>
  </si>
  <si>
    <t>Instacion sistema riego</t>
  </si>
  <si>
    <t xml:space="preserve">Feb- Mar </t>
  </si>
  <si>
    <t>Chapoda</t>
  </si>
  <si>
    <t>May-Jul</t>
  </si>
  <si>
    <t>Fertilizaciones</t>
  </si>
  <si>
    <t>Feb-mar</t>
  </si>
  <si>
    <t>Control de plagas</t>
  </si>
  <si>
    <t>Abr-Jul</t>
  </si>
  <si>
    <t>Riego</t>
  </si>
  <si>
    <t>Ene- Dic</t>
  </si>
  <si>
    <t>Cosecha y post cosecha</t>
  </si>
  <si>
    <t>Ago-Dic</t>
  </si>
  <si>
    <t>Limpieza y trazado</t>
  </si>
  <si>
    <t>Dic-Ene</t>
  </si>
  <si>
    <t>Aradura y Rastraje</t>
  </si>
  <si>
    <t>Arado Cincel</t>
  </si>
  <si>
    <t>Hechura camellones</t>
  </si>
  <si>
    <t>Ene-Feb</t>
  </si>
  <si>
    <t>Aplicación de abono foliar</t>
  </si>
  <si>
    <t>Aplicación mecanica de plagas</t>
  </si>
  <si>
    <t>Subtotal Costo Maquinaria</t>
  </si>
  <si>
    <t>PLANTAS</t>
  </si>
  <si>
    <t>unidades</t>
  </si>
  <si>
    <t>Ultrasol de crecimiento</t>
  </si>
  <si>
    <t>Kq</t>
  </si>
  <si>
    <t>Ultrasol multiproposito</t>
  </si>
  <si>
    <t>Sep -Oct</t>
  </si>
  <si>
    <t>Ultrasol produccion</t>
  </si>
  <si>
    <t>Oct- Mar</t>
  </si>
  <si>
    <t>Nitrofoska foliar PS</t>
  </si>
  <si>
    <t>Feb-Abr</t>
  </si>
  <si>
    <t>Rukan mix</t>
  </si>
  <si>
    <t>Frutaliv</t>
  </si>
  <si>
    <t>Sep- Dic</t>
  </si>
  <si>
    <t>Rukan calcio</t>
  </si>
  <si>
    <t>Ago -Sep</t>
  </si>
  <si>
    <t>Acido fosforico</t>
  </si>
  <si>
    <t>Sept - Mar</t>
  </si>
  <si>
    <t>Phyton 27</t>
  </si>
  <si>
    <t>Enero</t>
  </si>
  <si>
    <t xml:space="preserve">caldo bordeles </t>
  </si>
  <si>
    <t>Junio</t>
  </si>
  <si>
    <t>Rukon 50 WP</t>
  </si>
  <si>
    <t>Amistar 50 WP</t>
  </si>
  <si>
    <t>Dic- Ene</t>
  </si>
  <si>
    <t>Azufre mojable</t>
  </si>
  <si>
    <t>Oct- Abri</t>
  </si>
  <si>
    <t>Farmon</t>
  </si>
  <si>
    <t>Feb-May</t>
  </si>
  <si>
    <t>INSECTICIDA</t>
  </si>
  <si>
    <t>Punto 70 WP</t>
  </si>
  <si>
    <t xml:space="preserve">Agosto </t>
  </si>
  <si>
    <t>Succes</t>
  </si>
  <si>
    <t>ACARICIDA</t>
  </si>
  <si>
    <t>Acaban 050</t>
  </si>
  <si>
    <t xml:space="preserve">Vertimec </t>
  </si>
  <si>
    <t>Nov-Feb</t>
  </si>
  <si>
    <t>VARIOS</t>
  </si>
  <si>
    <t>Plasticos planza 1,5 ''</t>
  </si>
  <si>
    <t>mt</t>
  </si>
  <si>
    <t>Conectores</t>
  </si>
  <si>
    <t>Cintas</t>
  </si>
  <si>
    <t>Fitting</t>
  </si>
  <si>
    <t>Bomba 2 Hp  Sistema Fijo</t>
  </si>
  <si>
    <t>Filtro</t>
  </si>
  <si>
    <t>Sistema fertirrigacion</t>
  </si>
  <si>
    <t>Sistema eléctrico conducción</t>
  </si>
  <si>
    <t>Analisis de suelo Frutilla</t>
  </si>
  <si>
    <t>Ene - Dic</t>
  </si>
  <si>
    <t>Mulch</t>
  </si>
  <si>
    <t>Feb-Mar</t>
  </si>
  <si>
    <t>Electricidad Bomba frutilla</t>
  </si>
  <si>
    <t>kw</t>
  </si>
  <si>
    <t>Bandejas de 5-6 kq</t>
  </si>
  <si>
    <t>Rendimiento (KILOS/hà)</t>
  </si>
  <si>
    <t>Rendimiento (QQ/hà)</t>
  </si>
  <si>
    <t>ENERO-Abril de 2022</t>
  </si>
  <si>
    <t>ENERO - ABRIL de 2022</t>
  </si>
  <si>
    <t>Costo unitario ($KILOS(*)</t>
  </si>
  <si>
    <t>ENERO-ABRIL</t>
  </si>
  <si>
    <t>CAMAROSA</t>
  </si>
  <si>
    <t>Época</t>
  </si>
  <si>
    <t>Aplicación fertilizantes base</t>
  </si>
  <si>
    <t>Agosto -Septiembre</t>
  </si>
  <si>
    <t>Terminación camellones de plantación</t>
  </si>
  <si>
    <t>Instalación cinta de Riego</t>
  </si>
  <si>
    <t>Instalación mulch plástico</t>
  </si>
  <si>
    <t>Romper mulch plástico</t>
  </si>
  <si>
    <t>Plantación</t>
  </si>
  <si>
    <t>Diciembre - marzo</t>
  </si>
  <si>
    <t xml:space="preserve">Construcción camellones plantación </t>
  </si>
  <si>
    <t>Subsolado</t>
  </si>
  <si>
    <t>Rastraje discos</t>
  </si>
  <si>
    <t>Items</t>
  </si>
  <si>
    <t>Cantidad</t>
  </si>
  <si>
    <t>SEMILLAS O PLANTAS</t>
  </si>
  <si>
    <t>Plantas</t>
  </si>
  <si>
    <t>c/u</t>
  </si>
  <si>
    <t>FERTILIZANTE MEZCLA 11-30-14</t>
  </si>
  <si>
    <t>Sulfato de potasio granulado</t>
  </si>
  <si>
    <t>Subtotal Costo Insumos</t>
  </si>
  <si>
    <t>Agosto - Septiembre</t>
  </si>
  <si>
    <t>Diciembre -Marzo</t>
  </si>
  <si>
    <t xml:space="preserve">Fuente: INDAP </t>
  </si>
  <si>
    <t>ARVEJA VERDE</t>
  </si>
  <si>
    <t>PERFECTED FREEZER</t>
  </si>
  <si>
    <t>ENERO 2022</t>
  </si>
  <si>
    <t>DICIEMBRE-ENERO de 2022</t>
  </si>
  <si>
    <t>MERCADO LOCAL</t>
  </si>
  <si>
    <t>julio-agosto</t>
  </si>
  <si>
    <t>Limpia</t>
  </si>
  <si>
    <t>agosto -octubre</t>
  </si>
  <si>
    <t>Lab. Culturales y cosecha</t>
  </si>
  <si>
    <t>diciembre - enero</t>
  </si>
  <si>
    <t>Traslado cosecha a bodega</t>
  </si>
  <si>
    <t>diciembre-enero</t>
  </si>
  <si>
    <t>Semilla</t>
  </si>
  <si>
    <t>kgs</t>
  </si>
  <si>
    <t>Desinfectante Semillas</t>
  </si>
  <si>
    <t>Superfosfato Triple</t>
  </si>
  <si>
    <t xml:space="preserve">unidad   </t>
  </si>
  <si>
    <t>Diciembre-enero</t>
  </si>
  <si>
    <t xml:space="preserve">Frambuesa </t>
  </si>
  <si>
    <t>RENDIMIENTO  (kg/ha)</t>
  </si>
  <si>
    <t>Heritage</t>
  </si>
  <si>
    <t>PRECIO ESPERADO ($/kg)</t>
  </si>
  <si>
    <t>INGRESO ESPERADO, CON IVA ($)</t>
  </si>
  <si>
    <t>ÁREA</t>
  </si>
  <si>
    <t>DESTINO PRODUCCIÓN</t>
  </si>
  <si>
    <t>Mercado Local</t>
  </si>
  <si>
    <t>Reparacion sistemna conducción</t>
  </si>
  <si>
    <t>Amarra</t>
  </si>
  <si>
    <t>Aplicación de fertilizante</t>
  </si>
  <si>
    <t xml:space="preserve">Cosecha </t>
  </si>
  <si>
    <t>Desbrozadora</t>
  </si>
  <si>
    <t>Fertilizante SFT</t>
  </si>
  <si>
    <t>Muriato Potasio</t>
  </si>
  <si>
    <t>Aminotec</t>
  </si>
  <si>
    <t>Septiembre</t>
  </si>
  <si>
    <t>Paraquat</t>
  </si>
  <si>
    <t>Noviembre</t>
  </si>
  <si>
    <t xml:space="preserve">INSECTICIDA </t>
  </si>
  <si>
    <t>Troya</t>
  </si>
  <si>
    <t>Anual</t>
  </si>
  <si>
    <t>MARZO-JUNIO 2022</t>
  </si>
  <si>
    <t>LLUVIA-RIEGO DEFICIENTE</t>
  </si>
  <si>
    <t>MARZO/JUNIO</t>
  </si>
  <si>
    <t>Poda (A TIERRA)</t>
  </si>
  <si>
    <t>Junio - julio</t>
  </si>
  <si>
    <t>octubre</t>
  </si>
  <si>
    <t>octubre-diciembre</t>
  </si>
  <si>
    <t>Julio - octubre</t>
  </si>
  <si>
    <t>Agosto-diciembre</t>
  </si>
  <si>
    <t>Julio * octubre</t>
  </si>
  <si>
    <t>marzo - Abril</t>
  </si>
  <si>
    <t>traslado a venta  zona urbana.-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</si>
</sst>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 * #,##0.00_ ;_ * \-#,##0.00_ ;_ * &quot;-&quot;??_ ;_ @_ "/>
    <numFmt numFmtId="164" formatCode="&quot; &quot;* #,##0.00&quot; &quot;;&quot;-&quot;* #,##0.00&quot; &quot;;&quot; &quot;* &quot;-&quot;??&quot; &quot;"/>
    <numFmt numFmtId="165" formatCode="&quot; &quot;* #,##0&quot;   &quot;;&quot;-&quot;* #,##0&quot;   &quot;;&quot; &quot;* &quot;-&quot;??&quot;   &quot;"/>
    <numFmt numFmtId="166" formatCode="&quot; &quot;* #,##0&quot; &quot;;&quot; &quot;* &quot;-&quot;#,##0&quot; &quot;;&quot; &quot;* &quot;- &quot;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* #,##0_-;\-* #,##0_-;_-* &quot;-&quot;_-;_-@_-"/>
    <numFmt numFmtId="170" formatCode="_-* #,##0.00_-;\-* #,##0.00_-;_-* &quot;-&quot;??_-;_-@_-"/>
    <numFmt numFmtId="171" formatCode="&quot; &quot;* #,##0&quot; &quot;;&quot;-&quot;* #,##0&quot; &quot;;&quot; &quot;* &quot;-&quot;??&quot; &quot;"/>
    <numFmt numFmtId="172" formatCode="#,##0.0"/>
    <numFmt numFmtId="173" formatCode="_-* #,##0_-;\-* #,##0_-;_-* &quot;-&quot;??_-;_-@_-"/>
    <numFmt numFmtId="174" formatCode="#,##0_ ;\-#,##0\ "/>
    <numFmt numFmtId="175" formatCode="_-* #,##0\ _€_-;\-* #,##0\ _€_-;_-* &quot;-&quot;??\ _€_-;_-@_-"/>
  </numFmts>
  <fonts count="46">
    <font>
      <sz val="11"/>
      <color indexed="8"/>
      <name val="Calibri"/>
    </font>
    <font>
      <sz val="11"/>
      <color theme="1"/>
      <name val="Helvetica Neue"/>
      <family val="2"/>
      <scheme val="minor"/>
    </font>
    <font>
      <b/>
      <sz val="9"/>
      <color indexed="9"/>
      <name val="Calibri"/>
      <family val="2"/>
    </font>
    <font>
      <sz val="9"/>
      <color indexed="8"/>
      <name val="Calibri"/>
      <family val="2"/>
    </font>
    <font>
      <sz val="9"/>
      <color indexed="9"/>
      <name val="Calibri"/>
      <family val="2"/>
    </font>
    <font>
      <sz val="8"/>
      <color indexed="8"/>
      <name val="Arial Narrow"/>
      <family val="2"/>
    </font>
    <font>
      <sz val="9"/>
      <color indexed="8"/>
      <name val="Arial Narrow"/>
      <family val="2"/>
    </font>
    <font>
      <b/>
      <i/>
      <sz val="9"/>
      <color indexed="9"/>
      <name val="Calibri"/>
      <family val="2"/>
    </font>
    <font>
      <b/>
      <sz val="7"/>
      <color indexed="9"/>
      <name val="Calibri"/>
      <family val="2"/>
    </font>
    <font>
      <b/>
      <sz val="7"/>
      <color indexed="8"/>
      <name val="Calibri"/>
      <family val="2"/>
    </font>
    <font>
      <b/>
      <u/>
      <sz val="7"/>
      <color indexed="8"/>
      <name val="Calibri"/>
      <family val="2"/>
    </font>
    <font>
      <sz val="7"/>
      <color indexed="8"/>
      <name val="Calibri"/>
      <family val="2"/>
    </font>
    <font>
      <sz val="8"/>
      <color indexed="9"/>
      <name val="Calibri"/>
      <family val="2"/>
    </font>
    <font>
      <b/>
      <sz val="9"/>
      <color indexed="8"/>
      <name val="Calibri"/>
      <family val="2"/>
    </font>
    <font>
      <b/>
      <sz val="7"/>
      <color indexed="15"/>
      <name val="Calibri"/>
      <family val="2"/>
    </font>
    <font>
      <sz val="9"/>
      <name val="Helvetica Neue"/>
      <family val="2"/>
      <scheme val="minor"/>
    </font>
    <font>
      <sz val="10"/>
      <name val="Arial"/>
      <family val="2"/>
    </font>
    <font>
      <sz val="9"/>
      <color theme="0"/>
      <name val="Helvetica Neue"/>
      <family val="2"/>
      <scheme val="minor"/>
    </font>
    <font>
      <sz val="9"/>
      <color theme="1"/>
      <name val="Helvetica Neue"/>
      <family val="2"/>
      <scheme val="minor"/>
    </font>
    <font>
      <b/>
      <sz val="9"/>
      <color theme="0"/>
      <name val="Helvetica Neue"/>
      <family val="2"/>
      <scheme val="minor"/>
    </font>
    <font>
      <sz val="8"/>
      <name val="Helvetica Neue"/>
      <family val="2"/>
      <scheme val="minor"/>
    </font>
    <font>
      <b/>
      <sz val="9"/>
      <name val="Helvetica Neue"/>
      <family val="2"/>
      <scheme val="minor"/>
    </font>
    <font>
      <b/>
      <sz val="12"/>
      <name val="Helvetica Neue"/>
      <family val="2"/>
      <scheme val="minor"/>
    </font>
    <font>
      <sz val="9"/>
      <name val="Calibri"/>
      <family val="2"/>
    </font>
    <font>
      <sz val="9"/>
      <name val="Arial"/>
      <family val="2"/>
    </font>
    <font>
      <b/>
      <sz val="8"/>
      <color indexed="8"/>
      <name val="Arial Narrow"/>
      <family val="2"/>
    </font>
    <font>
      <sz val="11"/>
      <color indexed="8"/>
      <name val="Calibri"/>
    </font>
    <font>
      <b/>
      <sz val="9"/>
      <color theme="1"/>
      <name val="Helvetica Neue"/>
      <family val="2"/>
      <scheme val="minor"/>
    </font>
    <font>
      <sz val="8"/>
      <color theme="1"/>
      <name val="Helvetica Neue"/>
      <family val="2"/>
      <scheme val="minor"/>
    </font>
    <font>
      <sz val="9"/>
      <color indexed="8"/>
      <name val="Helvetica Neue"/>
      <family val="2"/>
      <scheme val="minor"/>
    </font>
    <font>
      <b/>
      <sz val="9"/>
      <name val="Helvetica Neue"/>
      <scheme val="minor"/>
    </font>
    <font>
      <b/>
      <sz val="12"/>
      <name val="Helvetica Neue"/>
      <scheme val="minor"/>
    </font>
    <font>
      <b/>
      <sz val="9"/>
      <color theme="0"/>
      <name val="Calibri"/>
      <family val="2"/>
    </font>
    <font>
      <sz val="9"/>
      <color theme="0"/>
      <name val="Calibri"/>
      <family val="2"/>
    </font>
    <font>
      <b/>
      <sz val="9"/>
      <color theme="1"/>
      <name val="Calibri"/>
      <family val="2"/>
    </font>
    <font>
      <b/>
      <sz val="9"/>
      <name val="Calibri"/>
      <family val="2"/>
    </font>
    <font>
      <b/>
      <sz val="7"/>
      <color theme="0"/>
      <name val="Calibri"/>
      <family val="2"/>
    </font>
    <font>
      <b/>
      <sz val="7"/>
      <color theme="1"/>
      <name val="Calibri"/>
      <family val="2"/>
    </font>
    <font>
      <sz val="7"/>
      <color theme="1"/>
      <name val="Calibri"/>
      <family val="2"/>
    </font>
    <font>
      <b/>
      <sz val="11"/>
      <color theme="0"/>
      <name val="Calibri"/>
      <family val="2"/>
    </font>
    <font>
      <b/>
      <i/>
      <sz val="7"/>
      <color theme="0"/>
      <name val="Calibri"/>
      <family val="2"/>
    </font>
    <font>
      <b/>
      <i/>
      <sz val="7"/>
      <color theme="1"/>
      <name val="Calibri"/>
      <family val="2"/>
    </font>
    <font>
      <sz val="7"/>
      <name val="Calibri"/>
      <family val="2"/>
    </font>
    <font>
      <sz val="7"/>
      <color theme="0"/>
      <name val="Calibri"/>
      <family val="2"/>
    </font>
    <font>
      <b/>
      <sz val="7"/>
      <name val="Calibri"/>
      <family val="2"/>
    </font>
    <font>
      <sz val="9"/>
      <color theme="1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9"/>
        <bgColor auto="1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</fills>
  <borders count="100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1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medium">
        <color indexed="8"/>
      </left>
      <right/>
      <top/>
      <bottom/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indexed="64"/>
      </top>
      <bottom style="thin">
        <color theme="0" tint="-0.499984740745262"/>
      </bottom>
      <diagonal/>
    </border>
    <border>
      <left/>
      <right/>
      <top style="thin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/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 applyNumberFormat="0" applyFill="0" applyBorder="0" applyProtection="0"/>
    <xf numFmtId="0" fontId="16" fillId="0" borderId="12"/>
    <xf numFmtId="0" fontId="1" fillId="0" borderId="12"/>
    <xf numFmtId="43" fontId="1" fillId="0" borderId="12" applyFont="0" applyFill="0" applyBorder="0" applyAlignment="0" applyProtection="0"/>
    <xf numFmtId="168" fontId="16" fillId="0" borderId="12" applyFont="0" applyFill="0" applyBorder="0" applyAlignment="0" applyProtection="0"/>
    <xf numFmtId="169" fontId="16" fillId="0" borderId="12" applyFont="0" applyFill="0" applyBorder="0" applyAlignment="0" applyProtection="0"/>
    <xf numFmtId="167" fontId="16" fillId="0" borderId="12" applyFont="0" applyFill="0" applyBorder="0" applyAlignment="0" applyProtection="0"/>
    <xf numFmtId="0" fontId="16" fillId="0" borderId="12"/>
    <xf numFmtId="0" fontId="16" fillId="0" borderId="12"/>
    <xf numFmtId="9" fontId="16" fillId="0" borderId="12" applyFont="0" applyFill="0" applyBorder="0" applyAlignment="0" applyProtection="0"/>
    <xf numFmtId="170" fontId="1" fillId="0" borderId="12" applyFont="0" applyFill="0" applyBorder="0" applyAlignment="0" applyProtection="0"/>
    <xf numFmtId="43" fontId="26" fillId="0" borderId="0" applyFont="0" applyFill="0" applyBorder="0" applyAlignment="0" applyProtection="0"/>
    <xf numFmtId="0" fontId="16" fillId="0" borderId="12"/>
  </cellStyleXfs>
  <cellXfs count="593">
    <xf numFmtId="0" fontId="0" fillId="0" borderId="0" xfId="0" applyFont="1" applyAlignment="1"/>
    <xf numFmtId="0" fontId="0" fillId="0" borderId="0" xfId="0" applyNumberFormat="1" applyFont="1" applyAlignment="1"/>
    <xf numFmtId="0" fontId="0" fillId="2" borderId="1" xfId="0" applyFont="1" applyFill="1" applyBorder="1" applyAlignment="1"/>
    <xf numFmtId="0" fontId="0" fillId="2" borderId="2" xfId="0" applyFont="1" applyFill="1" applyBorder="1" applyAlignment="1"/>
    <xf numFmtId="0" fontId="0" fillId="2" borderId="3" xfId="0" applyFont="1" applyFill="1" applyBorder="1" applyAlignment="1"/>
    <xf numFmtId="49" fontId="2" fillId="3" borderId="4" xfId="0" applyNumberFormat="1" applyFont="1" applyFill="1" applyBorder="1" applyAlignment="1">
      <alignment vertical="center" wrapText="1"/>
    </xf>
    <xf numFmtId="0" fontId="3" fillId="2" borderId="6" xfId="0" applyFont="1" applyFill="1" applyBorder="1" applyAlignment="1"/>
    <xf numFmtId="3" fontId="3" fillId="2" borderId="5" xfId="0" applyNumberFormat="1" applyFont="1" applyFill="1" applyBorder="1" applyAlignment="1"/>
    <xf numFmtId="49" fontId="5" fillId="2" borderId="4" xfId="0" applyNumberFormat="1" applyFont="1" applyFill="1" applyBorder="1" applyAlignment="1">
      <alignment vertical="center" wrapText="1"/>
    </xf>
    <xf numFmtId="49" fontId="5" fillId="2" borderId="5" xfId="0" applyNumberFormat="1" applyFont="1" applyFill="1" applyBorder="1" applyAlignment="1">
      <alignment horizontal="center" vertical="center" wrapText="1"/>
    </xf>
    <xf numFmtId="0" fontId="6" fillId="2" borderId="6" xfId="0" applyFont="1" applyFill="1" applyBorder="1" applyAlignment="1"/>
    <xf numFmtId="49" fontId="5" fillId="2" borderId="5" xfId="0" applyNumberFormat="1" applyFont="1" applyFill="1" applyBorder="1" applyAlignment="1">
      <alignment horizontal="right"/>
    </xf>
    <xf numFmtId="164" fontId="5" fillId="2" borderId="5" xfId="0" applyNumberFormat="1" applyFont="1" applyFill="1" applyBorder="1" applyAlignment="1"/>
    <xf numFmtId="49" fontId="5" fillId="2" borderId="5" xfId="0" applyNumberFormat="1" applyFont="1" applyFill="1" applyBorder="1" applyAlignment="1">
      <alignment horizontal="right" wrapText="1"/>
    </xf>
    <xf numFmtId="49" fontId="5" fillId="2" borderId="5" xfId="0" applyNumberFormat="1" applyFont="1" applyFill="1" applyBorder="1" applyAlignment="1"/>
    <xf numFmtId="0" fontId="5" fillId="2" borderId="5" xfId="0" applyFont="1" applyFill="1" applyBorder="1" applyAlignment="1"/>
    <xf numFmtId="3" fontId="5" fillId="2" borderId="5" xfId="0" applyNumberFormat="1" applyFont="1" applyFill="1" applyBorder="1" applyAlignment="1">
      <alignment horizontal="right" wrapText="1"/>
    </xf>
    <xf numFmtId="14" fontId="5" fillId="2" borderId="5" xfId="0" applyNumberFormat="1" applyFont="1" applyFill="1" applyBorder="1" applyAlignment="1">
      <alignment horizontal="right"/>
    </xf>
    <xf numFmtId="0" fontId="3" fillId="2" borderId="7" xfId="0" applyFont="1" applyFill="1" applyBorder="1" applyAlignment="1">
      <alignment wrapText="1"/>
    </xf>
    <xf numFmtId="14" fontId="3" fillId="2" borderId="8" xfId="0" applyNumberFormat="1" applyFont="1" applyFill="1" applyBorder="1" applyAlignment="1"/>
    <xf numFmtId="0" fontId="3" fillId="2" borderId="3" xfId="0" applyFont="1" applyFill="1" applyBorder="1" applyAlignment="1"/>
    <xf numFmtId="0" fontId="3" fillId="2" borderId="8" xfId="0" applyFont="1" applyFill="1" applyBorder="1" applyAlignment="1"/>
    <xf numFmtId="0" fontId="3" fillId="2" borderId="8" xfId="0" applyFont="1" applyFill="1" applyBorder="1" applyAlignment="1">
      <alignment horizontal="justify" wrapText="1"/>
    </xf>
    <xf numFmtId="0" fontId="3" fillId="2" borderId="9" xfId="0" applyFont="1" applyFill="1" applyBorder="1" applyAlignment="1"/>
    <xf numFmtId="0" fontId="3" fillId="2" borderId="10" xfId="0" applyFont="1" applyFill="1" applyBorder="1" applyAlignment="1">
      <alignment horizontal="left"/>
    </xf>
    <xf numFmtId="0" fontId="3" fillId="2" borderId="10" xfId="0" applyFont="1" applyFill="1" applyBorder="1" applyAlignment="1"/>
    <xf numFmtId="0" fontId="11" fillId="5" borderId="12" xfId="0" applyFont="1" applyFill="1" applyBorder="1" applyAlignment="1"/>
    <xf numFmtId="49" fontId="9" fillId="6" borderId="13" xfId="0" applyNumberFormat="1" applyFont="1" applyFill="1" applyBorder="1" applyAlignment="1">
      <alignment vertical="center"/>
    </xf>
    <xf numFmtId="3" fontId="9" fillId="2" borderId="5" xfId="0" applyNumberFormat="1" applyFont="1" applyFill="1" applyBorder="1" applyAlignment="1">
      <alignment vertical="center"/>
    </xf>
    <xf numFmtId="166" fontId="9" fillId="2" borderId="5" xfId="0" applyNumberFormat="1" applyFont="1" applyFill="1" applyBorder="1" applyAlignment="1">
      <alignment vertical="center"/>
    </xf>
    <xf numFmtId="0" fontId="8" fillId="5" borderId="11" xfId="0" applyFont="1" applyFill="1" applyBorder="1" applyAlignment="1">
      <alignment vertical="center"/>
    </xf>
    <xf numFmtId="0" fontId="8" fillId="5" borderId="12" xfId="0" applyFont="1" applyFill="1" applyBorder="1" applyAlignment="1">
      <alignment vertical="center"/>
    </xf>
    <xf numFmtId="165" fontId="2" fillId="2" borderId="12" xfId="0" applyNumberFormat="1" applyFont="1" applyFill="1" applyBorder="1" applyAlignment="1">
      <alignment vertical="center"/>
    </xf>
    <xf numFmtId="165" fontId="13" fillId="2" borderId="12" xfId="0" applyNumberFormat="1" applyFont="1" applyFill="1" applyBorder="1" applyAlignment="1">
      <alignment vertical="center"/>
    </xf>
    <xf numFmtId="0" fontId="11" fillId="2" borderId="12" xfId="0" applyFont="1" applyFill="1" applyBorder="1" applyAlignment="1"/>
    <xf numFmtId="0" fontId="8" fillId="2" borderId="12" xfId="0" applyFont="1" applyFill="1" applyBorder="1" applyAlignment="1">
      <alignment vertical="center"/>
    </xf>
    <xf numFmtId="0" fontId="0" fillId="2" borderId="12" xfId="0" applyFont="1" applyFill="1" applyBorder="1" applyAlignment="1">
      <alignment vertical="center"/>
    </xf>
    <xf numFmtId="0" fontId="12" fillId="2" borderId="12" xfId="0" applyFont="1" applyFill="1" applyBorder="1" applyAlignment="1">
      <alignment vertical="center"/>
    </xf>
    <xf numFmtId="49" fontId="9" fillId="6" borderId="14" xfId="0" applyNumberFormat="1" applyFont="1" applyFill="1" applyBorder="1" applyAlignment="1">
      <alignment vertical="center"/>
    </xf>
    <xf numFmtId="49" fontId="11" fillId="6" borderId="15" xfId="0" applyNumberFormat="1" applyFont="1" applyFill="1" applyBorder="1" applyAlignment="1"/>
    <xf numFmtId="49" fontId="9" fillId="2" borderId="16" xfId="0" applyNumberFormat="1" applyFont="1" applyFill="1" applyBorder="1" applyAlignment="1">
      <alignment vertical="center"/>
    </xf>
    <xf numFmtId="9" fontId="11" fillId="2" borderId="17" xfId="0" applyNumberFormat="1" applyFont="1" applyFill="1" applyBorder="1" applyAlignment="1"/>
    <xf numFmtId="49" fontId="9" fillId="6" borderId="18" xfId="0" applyNumberFormat="1" applyFont="1" applyFill="1" applyBorder="1" applyAlignment="1">
      <alignment vertical="center"/>
    </xf>
    <xf numFmtId="166" fontId="9" fillId="6" borderId="19" xfId="0" applyNumberFormat="1" applyFont="1" applyFill="1" applyBorder="1" applyAlignment="1">
      <alignment vertical="center"/>
    </xf>
    <xf numFmtId="9" fontId="9" fillId="6" borderId="20" xfId="0" applyNumberFormat="1" applyFont="1" applyFill="1" applyBorder="1" applyAlignment="1">
      <alignment vertical="center"/>
    </xf>
    <xf numFmtId="0" fontId="11" fillId="7" borderId="23" xfId="0" applyFont="1" applyFill="1" applyBorder="1" applyAlignment="1"/>
    <xf numFmtId="0" fontId="11" fillId="2" borderId="12" xfId="0" applyFont="1" applyFill="1" applyBorder="1" applyAlignment="1">
      <alignment vertical="center"/>
    </xf>
    <xf numFmtId="49" fontId="11" fillId="2" borderId="12" xfId="0" applyNumberFormat="1" applyFont="1" applyFill="1" applyBorder="1" applyAlignment="1">
      <alignment vertical="center"/>
    </xf>
    <xf numFmtId="49" fontId="9" fillId="2" borderId="24" xfId="0" applyNumberFormat="1" applyFont="1" applyFill="1" applyBorder="1" applyAlignment="1">
      <alignment vertical="center"/>
    </xf>
    <xf numFmtId="0" fontId="11" fillId="2" borderId="25" xfId="0" applyFont="1" applyFill="1" applyBorder="1" applyAlignment="1"/>
    <xf numFmtId="0" fontId="11" fillId="2" borderId="26" xfId="0" applyFont="1" applyFill="1" applyBorder="1" applyAlignment="1"/>
    <xf numFmtId="49" fontId="11" fillId="2" borderId="27" xfId="0" applyNumberFormat="1" applyFont="1" applyFill="1" applyBorder="1" applyAlignment="1">
      <alignment vertical="center"/>
    </xf>
    <xf numFmtId="0" fontId="11" fillId="2" borderId="28" xfId="0" applyFont="1" applyFill="1" applyBorder="1" applyAlignment="1"/>
    <xf numFmtId="49" fontId="11" fillId="2" borderId="29" xfId="0" applyNumberFormat="1" applyFont="1" applyFill="1" applyBorder="1" applyAlignment="1">
      <alignment vertical="center"/>
    </xf>
    <xf numFmtId="0" fontId="11" fillId="2" borderId="30" xfId="0" applyFont="1" applyFill="1" applyBorder="1" applyAlignment="1"/>
    <xf numFmtId="0" fontId="11" fillId="2" borderId="31" xfId="0" applyFont="1" applyFill="1" applyBorder="1" applyAlignment="1"/>
    <xf numFmtId="0" fontId="9" fillId="5" borderId="12" xfId="0" applyFont="1" applyFill="1" applyBorder="1" applyAlignment="1">
      <alignment vertical="center"/>
    </xf>
    <xf numFmtId="0" fontId="8" fillId="7" borderId="11" xfId="0" applyFont="1" applyFill="1" applyBorder="1" applyAlignment="1">
      <alignment vertical="center"/>
    </xf>
    <xf numFmtId="49" fontId="14" fillId="7" borderId="12" xfId="0" applyNumberFormat="1" applyFont="1" applyFill="1" applyBorder="1" applyAlignment="1">
      <alignment vertical="center"/>
    </xf>
    <xf numFmtId="0" fontId="8" fillId="7" borderId="12" xfId="0" applyFont="1" applyFill="1" applyBorder="1" applyAlignment="1">
      <alignment vertical="center"/>
    </xf>
    <xf numFmtId="0" fontId="8" fillId="7" borderId="32" xfId="0" applyFont="1" applyFill="1" applyBorder="1" applyAlignment="1">
      <alignment vertical="center"/>
    </xf>
    <xf numFmtId="49" fontId="9" fillId="6" borderId="33" xfId="0" applyNumberFormat="1" applyFont="1" applyFill="1" applyBorder="1" applyAlignment="1">
      <alignment vertical="center"/>
    </xf>
    <xf numFmtId="0" fontId="0" fillId="0" borderId="12" xfId="0" applyNumberFormat="1" applyFont="1" applyBorder="1" applyAlignment="1"/>
    <xf numFmtId="49" fontId="5" fillId="2" borderId="5" xfId="0" applyNumberFormat="1" applyFont="1" applyFill="1" applyBorder="1" applyAlignment="1"/>
    <xf numFmtId="0" fontId="5" fillId="2" borderId="5" xfId="0" applyFont="1" applyFill="1" applyBorder="1" applyAlignment="1"/>
    <xf numFmtId="0" fontId="15" fillId="8" borderId="12" xfId="0" applyFont="1" applyFill="1" applyBorder="1" applyAlignment="1">
      <alignment vertical="center"/>
    </xf>
    <xf numFmtId="0" fontId="15" fillId="0" borderId="12" xfId="0" applyFont="1" applyBorder="1" applyAlignment="1">
      <alignment vertical="center"/>
    </xf>
    <xf numFmtId="0" fontId="15" fillId="8" borderId="12" xfId="0" applyFont="1" applyFill="1" applyBorder="1" applyAlignment="1">
      <alignment horizontal="center" vertical="center" wrapText="1"/>
    </xf>
    <xf numFmtId="0" fontId="15" fillId="0" borderId="34" xfId="0" applyFont="1" applyBorder="1" applyAlignment="1">
      <alignment vertical="center"/>
    </xf>
    <xf numFmtId="0" fontId="15" fillId="0" borderId="34" xfId="0" applyFont="1" applyBorder="1" applyAlignment="1">
      <alignment horizontal="center" vertical="center"/>
    </xf>
    <xf numFmtId="3" fontId="15" fillId="0" borderId="34" xfId="0" applyNumberFormat="1" applyFont="1" applyBorder="1" applyAlignment="1">
      <alignment vertical="center"/>
    </xf>
    <xf numFmtId="3" fontId="15" fillId="0" borderId="34" xfId="0" applyNumberFormat="1" applyFont="1" applyBorder="1" applyAlignment="1" applyProtection="1">
      <alignment horizontal="left" wrapText="1"/>
      <protection locked="0"/>
    </xf>
    <xf numFmtId="3" fontId="15" fillId="0" borderId="34" xfId="0" applyNumberFormat="1" applyFont="1" applyBorder="1" applyAlignment="1">
      <alignment horizontal="center"/>
    </xf>
    <xf numFmtId="3" fontId="15" fillId="0" borderId="34" xfId="0" applyNumberFormat="1" applyFont="1" applyBorder="1" applyAlignment="1" applyProtection="1">
      <alignment horizontal="center"/>
      <protection locked="0"/>
    </xf>
    <xf numFmtId="3" fontId="15" fillId="0" borderId="34" xfId="0" applyNumberFormat="1" applyFont="1" applyBorder="1"/>
    <xf numFmtId="3" fontId="15" fillId="0" borderId="34" xfId="0" applyNumberFormat="1" applyFont="1" applyBorder="1" applyAlignment="1" applyProtection="1">
      <alignment horizontal="left"/>
      <protection locked="0"/>
    </xf>
    <xf numFmtId="0" fontId="15" fillId="8" borderId="12" xfId="0" applyFont="1" applyFill="1" applyBorder="1" applyAlignment="1">
      <alignment horizontal="center" vertical="center"/>
    </xf>
    <xf numFmtId="3" fontId="15" fillId="8" borderId="12" xfId="0" applyNumberFormat="1" applyFont="1" applyFill="1" applyBorder="1" applyAlignment="1">
      <alignment vertical="center"/>
    </xf>
    <xf numFmtId="0" fontId="15" fillId="0" borderId="12" xfId="0" applyFont="1" applyBorder="1" applyAlignment="1">
      <alignment horizontal="center" vertical="center"/>
    </xf>
    <xf numFmtId="0" fontId="15" fillId="0" borderId="34" xfId="1" applyFont="1" applyBorder="1" applyAlignment="1">
      <alignment horizontal="left"/>
    </xf>
    <xf numFmtId="0" fontId="15" fillId="0" borderId="34" xfId="1" applyFont="1" applyBorder="1" applyAlignment="1">
      <alignment horizontal="center"/>
    </xf>
    <xf numFmtId="3" fontId="15" fillId="0" borderId="34" xfId="1" applyNumberFormat="1" applyFont="1" applyBorder="1" applyAlignment="1">
      <alignment horizontal="right"/>
    </xf>
    <xf numFmtId="0" fontId="15" fillId="0" borderId="34" xfId="0" applyFont="1" applyFill="1" applyBorder="1"/>
    <xf numFmtId="0" fontId="15" fillId="0" borderId="34" xfId="0" applyFont="1" applyBorder="1" applyAlignment="1">
      <alignment horizontal="center"/>
    </xf>
    <xf numFmtId="0" fontId="15" fillId="0" borderId="34" xfId="0" applyFont="1" applyFill="1" applyBorder="1" applyAlignment="1">
      <alignment wrapText="1"/>
    </xf>
    <xf numFmtId="0" fontId="15" fillId="0" borderId="34" xfId="0" applyFont="1" applyBorder="1"/>
    <xf numFmtId="0" fontId="15" fillId="0" borderId="34" xfId="0" applyFont="1" applyBorder="1" applyAlignment="1">
      <alignment horizontal="right"/>
    </xf>
    <xf numFmtId="3" fontId="15" fillId="9" borderId="34" xfId="0" applyNumberFormat="1" applyFont="1" applyFill="1" applyBorder="1" applyAlignment="1">
      <alignment horizontal="center"/>
    </xf>
    <xf numFmtId="3" fontId="15" fillId="9" borderId="34" xfId="0" applyNumberFormat="1" applyFont="1" applyFill="1" applyBorder="1"/>
    <xf numFmtId="0" fontId="15" fillId="0" borderId="34" xfId="0" applyFont="1" applyBorder="1" applyAlignment="1">
      <alignment horizontal="center" wrapText="1"/>
    </xf>
    <xf numFmtId="3" fontId="15" fillId="9" borderId="34" xfId="0" applyNumberFormat="1" applyFont="1" applyFill="1" applyBorder="1" applyAlignment="1">
      <alignment horizontal="center" wrapText="1"/>
    </xf>
    <xf numFmtId="0" fontId="15" fillId="0" borderId="12" xfId="0" applyFont="1" applyFill="1" applyBorder="1" applyAlignment="1">
      <alignment vertical="center"/>
    </xf>
    <xf numFmtId="0" fontId="17" fillId="8" borderId="12" xfId="0" applyFont="1" applyFill="1" applyBorder="1" applyAlignment="1">
      <alignment vertical="center"/>
    </xf>
    <xf numFmtId="0" fontId="17" fillId="8" borderId="12" xfId="0" applyFont="1" applyFill="1" applyBorder="1" applyAlignment="1">
      <alignment horizontal="center" vertical="center"/>
    </xf>
    <xf numFmtId="3" fontId="17" fillId="8" borderId="12" xfId="0" applyNumberFormat="1" applyFont="1" applyFill="1" applyBorder="1" applyAlignment="1">
      <alignment vertical="center"/>
    </xf>
    <xf numFmtId="0" fontId="18" fillId="0" borderId="12" xfId="0" applyFont="1" applyBorder="1" applyAlignment="1">
      <alignment vertical="center"/>
    </xf>
    <xf numFmtId="49" fontId="5" fillId="2" borderId="5" xfId="0" applyNumberFormat="1" applyFont="1" applyFill="1" applyBorder="1" applyAlignment="1"/>
    <xf numFmtId="0" fontId="5" fillId="2" borderId="5" xfId="0" applyFont="1" applyFill="1" applyBorder="1" applyAlignment="1"/>
    <xf numFmtId="49" fontId="9" fillId="6" borderId="35" xfId="0" applyNumberFormat="1" applyFont="1" applyFill="1" applyBorder="1" applyAlignment="1">
      <alignment vertical="center"/>
    </xf>
    <xf numFmtId="0" fontId="9" fillId="6" borderId="36" xfId="0" applyNumberFormat="1" applyFont="1" applyFill="1" applyBorder="1" applyAlignment="1">
      <alignment vertical="center"/>
    </xf>
    <xf numFmtId="0" fontId="9" fillId="6" borderId="37" xfId="0" applyNumberFormat="1" applyFont="1" applyFill="1" applyBorder="1" applyAlignment="1">
      <alignment vertical="center"/>
    </xf>
    <xf numFmtId="166" fontId="9" fillId="6" borderId="34" xfId="0" applyNumberFormat="1" applyFont="1" applyFill="1" applyBorder="1" applyAlignment="1">
      <alignment vertical="center"/>
    </xf>
    <xf numFmtId="49" fontId="9" fillId="6" borderId="35" xfId="0" applyNumberFormat="1" applyFont="1" applyFill="1" applyBorder="1" applyAlignment="1">
      <alignment horizontal="center" vertical="center" wrapText="1"/>
    </xf>
    <xf numFmtId="49" fontId="9" fillId="6" borderId="35" xfId="0" applyNumberFormat="1" applyFont="1" applyFill="1" applyBorder="1" applyAlignment="1">
      <alignment horizontal="left" vertical="center" wrapText="1"/>
    </xf>
    <xf numFmtId="0" fontId="15" fillId="0" borderId="34" xfId="2" applyFont="1" applyBorder="1" applyAlignment="1">
      <alignment horizontal="center"/>
    </xf>
    <xf numFmtId="0" fontId="15" fillId="0" borderId="34" xfId="2" applyFont="1" applyBorder="1" applyAlignment="1">
      <alignment horizontal="center" wrapText="1"/>
    </xf>
    <xf numFmtId="3" fontId="15" fillId="0" borderId="34" xfId="2" applyNumberFormat="1" applyFont="1" applyBorder="1" applyAlignment="1">
      <alignment horizontal="center"/>
    </xf>
    <xf numFmtId="3" fontId="15" fillId="9" borderId="34" xfId="2" applyNumberFormat="1" applyFont="1" applyFill="1" applyBorder="1" applyAlignment="1">
      <alignment horizontal="right"/>
    </xf>
    <xf numFmtId="0" fontId="15" fillId="0" borderId="12" xfId="2" applyFont="1" applyBorder="1" applyAlignment="1">
      <alignment vertical="center"/>
    </xf>
    <xf numFmtId="0" fontId="15" fillId="0" borderId="12" xfId="2" applyFont="1" applyFill="1" applyBorder="1" applyAlignment="1">
      <alignment vertical="center"/>
    </xf>
    <xf numFmtId="3" fontId="15" fillId="0" borderId="34" xfId="2" applyNumberFormat="1" applyFont="1" applyBorder="1" applyAlignment="1" applyProtection="1">
      <alignment horizontal="center"/>
      <protection locked="0"/>
    </xf>
    <xf numFmtId="3" fontId="15" fillId="0" borderId="34" xfId="2" applyNumberFormat="1" applyFont="1" applyBorder="1" applyAlignment="1" applyProtection="1">
      <alignment horizontal="right"/>
      <protection locked="0"/>
    </xf>
    <xf numFmtId="0" fontId="15" fillId="0" borderId="12" xfId="2" applyFont="1" applyBorder="1" applyAlignment="1">
      <alignment horizontal="center" vertical="center"/>
    </xf>
    <xf numFmtId="0" fontId="15" fillId="0" borderId="34" xfId="2" applyFont="1" applyBorder="1" applyAlignment="1">
      <alignment vertical="center"/>
    </xf>
    <xf numFmtId="3" fontId="15" fillId="0" borderId="34" xfId="2" applyNumberFormat="1" applyFont="1" applyBorder="1" applyAlignment="1">
      <alignment horizontal="right"/>
    </xf>
    <xf numFmtId="3" fontId="15" fillId="0" borderId="34" xfId="2" applyNumberFormat="1" applyFont="1" applyBorder="1" applyAlignment="1" applyProtection="1">
      <alignment horizontal="left" wrapText="1"/>
      <protection locked="0"/>
    </xf>
    <xf numFmtId="3" fontId="15" fillId="0" borderId="34" xfId="2" applyNumberFormat="1" applyFont="1" applyBorder="1"/>
    <xf numFmtId="3" fontId="15" fillId="0" borderId="34" xfId="2" applyNumberFormat="1" applyFont="1" applyBorder="1" applyAlignment="1" applyProtection="1">
      <alignment horizontal="left"/>
      <protection locked="0"/>
    </xf>
    <xf numFmtId="0" fontId="15" fillId="0" borderId="34" xfId="2" applyFont="1" applyBorder="1" applyAlignment="1">
      <alignment horizontal="center" vertical="center"/>
    </xf>
    <xf numFmtId="3" fontId="15" fillId="0" borderId="34" xfId="2" applyNumberFormat="1" applyFont="1" applyBorder="1" applyAlignment="1">
      <alignment vertical="center"/>
    </xf>
    <xf numFmtId="0" fontId="15" fillId="0" borderId="34" xfId="1" applyFont="1" applyBorder="1" applyAlignment="1">
      <alignment horizontal="left"/>
    </xf>
    <xf numFmtId="0" fontId="15" fillId="0" borderId="34" xfId="1" applyFont="1" applyBorder="1" applyAlignment="1">
      <alignment horizontal="center"/>
    </xf>
    <xf numFmtId="3" fontId="15" fillId="0" borderId="34" xfId="1" applyNumberFormat="1" applyFont="1" applyBorder="1" applyAlignment="1">
      <alignment horizontal="right"/>
    </xf>
    <xf numFmtId="0" fontId="15" fillId="0" borderId="34" xfId="2" applyFont="1" applyFill="1" applyBorder="1"/>
    <xf numFmtId="0" fontId="15" fillId="0" borderId="34" xfId="2" applyFont="1" applyFill="1" applyBorder="1" applyAlignment="1">
      <alignment wrapText="1"/>
    </xf>
    <xf numFmtId="0" fontId="15" fillId="0" borderId="34" xfId="2" applyFont="1" applyBorder="1"/>
    <xf numFmtId="3" fontId="15" fillId="9" borderId="34" xfId="2" applyNumberFormat="1" applyFont="1" applyFill="1" applyBorder="1" applyAlignment="1">
      <alignment horizontal="right" wrapText="1"/>
    </xf>
    <xf numFmtId="0" fontId="15" fillId="8" borderId="12" xfId="2" applyFont="1" applyFill="1" applyBorder="1" applyAlignment="1">
      <alignment horizontal="center" vertical="center" wrapText="1"/>
    </xf>
    <xf numFmtId="0" fontId="15" fillId="8" borderId="12" xfId="2" applyFont="1" applyFill="1" applyBorder="1" applyAlignment="1">
      <alignment vertical="center"/>
    </xf>
    <xf numFmtId="0" fontId="15" fillId="8" borderId="12" xfId="2" applyFont="1" applyFill="1" applyBorder="1" applyAlignment="1">
      <alignment horizontal="center" vertical="center"/>
    </xf>
    <xf numFmtId="3" fontId="15" fillId="8" borderId="12" xfId="2" applyNumberFormat="1" applyFont="1" applyFill="1" applyBorder="1" applyAlignment="1">
      <alignment vertical="center"/>
    </xf>
    <xf numFmtId="0" fontId="19" fillId="8" borderId="12" xfId="2" applyFont="1" applyFill="1" applyBorder="1" applyAlignment="1">
      <alignment vertical="center"/>
    </xf>
    <xf numFmtId="0" fontId="19" fillId="8" borderId="12" xfId="2" applyFont="1" applyFill="1" applyBorder="1" applyAlignment="1">
      <alignment horizontal="center" vertical="center"/>
    </xf>
    <xf numFmtId="3" fontId="19" fillId="8" borderId="12" xfId="2" applyNumberFormat="1" applyFont="1" applyFill="1" applyBorder="1" applyAlignment="1">
      <alignment vertical="center"/>
    </xf>
    <xf numFmtId="171" fontId="5" fillId="2" borderId="5" xfId="0" applyNumberFormat="1" applyFont="1" applyFill="1" applyBorder="1" applyAlignment="1"/>
    <xf numFmtId="0" fontId="21" fillId="10" borderId="39" xfId="0" applyFont="1" applyFill="1" applyBorder="1" applyAlignment="1">
      <alignment horizontal="center" vertical="center" wrapText="1"/>
    </xf>
    <xf numFmtId="0" fontId="21" fillId="10" borderId="38" xfId="0" applyFont="1" applyFill="1" applyBorder="1" applyAlignment="1">
      <alignment horizontal="center" vertical="center" wrapText="1"/>
    </xf>
    <xf numFmtId="0" fontId="21" fillId="10" borderId="40" xfId="0" applyFont="1" applyFill="1" applyBorder="1" applyAlignment="1">
      <alignment horizontal="center" vertical="center" wrapText="1"/>
    </xf>
    <xf numFmtId="0" fontId="21" fillId="10" borderId="41" xfId="0" applyFont="1" applyFill="1" applyBorder="1" applyAlignment="1">
      <alignment horizontal="center" vertical="center" wrapText="1"/>
    </xf>
    <xf numFmtId="0" fontId="15" fillId="0" borderId="42" xfId="0" applyFont="1" applyBorder="1" applyAlignment="1">
      <alignment vertical="center"/>
    </xf>
    <xf numFmtId="0" fontId="15" fillId="0" borderId="42" xfId="0" applyFont="1" applyBorder="1" applyAlignment="1">
      <alignment horizontal="center" vertical="center"/>
    </xf>
    <xf numFmtId="3" fontId="15" fillId="0" borderId="42" xfId="0" applyNumberFormat="1" applyFont="1" applyBorder="1" applyAlignment="1">
      <alignment vertical="center"/>
    </xf>
    <xf numFmtId="3" fontId="15" fillId="0" borderId="43" xfId="0" applyNumberFormat="1" applyFont="1" applyBorder="1" applyAlignment="1" applyProtection="1">
      <alignment horizontal="left" wrapText="1"/>
      <protection locked="0"/>
    </xf>
    <xf numFmtId="3" fontId="15" fillId="0" borderId="42" xfId="0" applyNumberFormat="1" applyFont="1" applyBorder="1" applyAlignment="1">
      <alignment horizontal="center"/>
    </xf>
    <xf numFmtId="3" fontId="15" fillId="0" borderId="42" xfId="0" applyNumberFormat="1" applyFont="1" applyBorder="1" applyAlignment="1" applyProtection="1">
      <alignment horizontal="center"/>
      <protection locked="0"/>
    </xf>
    <xf numFmtId="3" fontId="15" fillId="0" borderId="44" xfId="0" applyNumberFormat="1" applyFont="1" applyBorder="1"/>
    <xf numFmtId="3" fontId="15" fillId="0" borderId="45" xfId="0" applyNumberFormat="1" applyFont="1" applyBorder="1" applyAlignment="1" applyProtection="1">
      <alignment horizontal="left"/>
      <protection locked="0"/>
    </xf>
    <xf numFmtId="3" fontId="15" fillId="0" borderId="46" xfId="0" applyNumberFormat="1" applyFont="1" applyBorder="1"/>
    <xf numFmtId="3" fontId="15" fillId="0" borderId="47" xfId="0" applyNumberFormat="1" applyFont="1" applyBorder="1" applyAlignment="1" applyProtection="1">
      <alignment horizontal="left"/>
      <protection locked="0"/>
    </xf>
    <xf numFmtId="3" fontId="15" fillId="0" borderId="48" xfId="0" applyNumberFormat="1" applyFont="1" applyBorder="1" applyAlignment="1">
      <alignment horizontal="center"/>
    </xf>
    <xf numFmtId="3" fontId="15" fillId="0" borderId="48" xfId="0" applyNumberFormat="1" applyFont="1" applyBorder="1" applyAlignment="1" applyProtection="1">
      <alignment horizontal="center"/>
      <protection locked="0"/>
    </xf>
    <xf numFmtId="3" fontId="15" fillId="0" borderId="49" xfId="0" applyNumberFormat="1" applyFont="1" applyBorder="1" applyAlignment="1">
      <alignment vertical="center"/>
    </xf>
    <xf numFmtId="3" fontId="15" fillId="0" borderId="50" xfId="0" applyNumberFormat="1" applyFont="1" applyBorder="1"/>
    <xf numFmtId="0" fontId="15" fillId="10" borderId="51" xfId="0" applyFont="1" applyFill="1" applyBorder="1" applyAlignment="1">
      <alignment vertical="center"/>
    </xf>
    <xf numFmtId="0" fontId="15" fillId="10" borderId="52" xfId="0" applyFont="1" applyFill="1" applyBorder="1" applyAlignment="1">
      <alignment horizontal="center" vertical="center"/>
    </xf>
    <xf numFmtId="0" fontId="15" fillId="10" borderId="53" xfId="0" applyFont="1" applyFill="1" applyBorder="1" applyAlignment="1">
      <alignment vertical="center"/>
    </xf>
    <xf numFmtId="3" fontId="22" fillId="10" borderId="38" xfId="0" applyNumberFormat="1" applyFont="1" applyFill="1" applyBorder="1" applyAlignment="1">
      <alignment vertical="center"/>
    </xf>
    <xf numFmtId="0" fontId="21" fillId="10" borderId="39" xfId="0" applyFont="1" applyFill="1" applyBorder="1" applyAlignment="1">
      <alignment horizontal="center" vertical="center"/>
    </xf>
    <xf numFmtId="0" fontId="21" fillId="10" borderId="38" xfId="0" applyFont="1" applyFill="1" applyBorder="1" applyAlignment="1">
      <alignment horizontal="center" vertical="center"/>
    </xf>
    <xf numFmtId="0" fontId="23" fillId="0" borderId="34" xfId="1" applyFont="1" applyBorder="1" applyAlignment="1">
      <alignment horizontal="left"/>
    </xf>
    <xf numFmtId="0" fontId="23" fillId="0" borderId="34" xfId="1" applyFont="1" applyBorder="1" applyAlignment="1">
      <alignment horizontal="center"/>
    </xf>
    <xf numFmtId="3" fontId="24" fillId="0" borderId="34" xfId="1" applyNumberFormat="1" applyFont="1" applyBorder="1" applyAlignment="1">
      <alignment horizontal="right"/>
    </xf>
    <xf numFmtId="0" fontId="15" fillId="0" borderId="48" xfId="0" applyFont="1" applyFill="1" applyBorder="1"/>
    <xf numFmtId="0" fontId="23" fillId="0" borderId="48" xfId="1" applyFont="1" applyBorder="1" applyAlignment="1">
      <alignment horizontal="center"/>
    </xf>
    <xf numFmtId="0" fontId="15" fillId="0" borderId="48" xfId="0" applyFont="1" applyBorder="1" applyAlignment="1">
      <alignment horizontal="center"/>
    </xf>
    <xf numFmtId="0" fontId="24" fillId="0" borderId="48" xfId="0" applyFont="1" applyBorder="1" applyAlignment="1">
      <alignment horizontal="center"/>
    </xf>
    <xf numFmtId="3" fontId="24" fillId="0" borderId="48" xfId="1" applyNumberFormat="1" applyFont="1" applyBorder="1" applyAlignment="1">
      <alignment horizontal="right"/>
    </xf>
    <xf numFmtId="3" fontId="15" fillId="10" borderId="52" xfId="0" applyNumberFormat="1" applyFont="1" applyFill="1" applyBorder="1" applyAlignment="1">
      <alignment vertical="center"/>
    </xf>
    <xf numFmtId="3" fontId="22" fillId="10" borderId="54" xfId="0" applyNumberFormat="1" applyFont="1" applyFill="1" applyBorder="1" applyAlignment="1">
      <alignment vertical="center"/>
    </xf>
    <xf numFmtId="0" fontId="21" fillId="10" borderId="40" xfId="0" applyFont="1" applyFill="1" applyBorder="1" applyAlignment="1">
      <alignment horizontal="center" vertical="center"/>
    </xf>
    <xf numFmtId="0" fontId="21" fillId="10" borderId="41" xfId="0" applyFont="1" applyFill="1" applyBorder="1" applyAlignment="1">
      <alignment horizontal="center" vertical="center"/>
    </xf>
    <xf numFmtId="0" fontId="15" fillId="0" borderId="49" xfId="0" applyFont="1" applyBorder="1" applyAlignment="1">
      <alignment vertical="center"/>
    </xf>
    <xf numFmtId="0" fontId="15" fillId="0" borderId="49" xfId="0" applyFont="1" applyBorder="1" applyAlignment="1">
      <alignment horizontal="center" vertical="center"/>
    </xf>
    <xf numFmtId="0" fontId="23" fillId="0" borderId="48" xfId="1" applyFont="1" applyBorder="1" applyAlignment="1">
      <alignment horizontal="left"/>
    </xf>
    <xf numFmtId="3" fontId="23" fillId="0" borderId="48" xfId="1" applyNumberFormat="1" applyFont="1" applyBorder="1" applyAlignment="1">
      <alignment horizontal="right"/>
    </xf>
    <xf numFmtId="0" fontId="15" fillId="0" borderId="48" xfId="0" applyFont="1" applyBorder="1" applyAlignment="1">
      <alignment vertical="center"/>
    </xf>
    <xf numFmtId="0" fontId="21" fillId="0" borderId="56" xfId="0" applyFont="1" applyFill="1" applyBorder="1" applyAlignment="1">
      <alignment wrapText="1"/>
    </xf>
    <xf numFmtId="0" fontId="15" fillId="0" borderId="57" xfId="0" applyFont="1" applyBorder="1" applyAlignment="1">
      <alignment horizontal="center"/>
    </xf>
    <xf numFmtId="0" fontId="15" fillId="0" borderId="57" xfId="0" applyFont="1" applyBorder="1"/>
    <xf numFmtId="0" fontId="15" fillId="0" borderId="58" xfId="0" applyFont="1" applyBorder="1"/>
    <xf numFmtId="0" fontId="15" fillId="0" borderId="43" xfId="0" applyFont="1" applyFill="1" applyBorder="1" applyAlignment="1">
      <alignment wrapText="1"/>
    </xf>
    <xf numFmtId="0" fontId="15" fillId="0" borderId="42" xfId="0" applyFont="1" applyBorder="1" applyAlignment="1">
      <alignment horizontal="center"/>
    </xf>
    <xf numFmtId="0" fontId="15" fillId="0" borderId="44" xfId="0" applyFont="1" applyBorder="1" applyAlignment="1">
      <alignment horizontal="right"/>
    </xf>
    <xf numFmtId="0" fontId="15" fillId="0" borderId="45" xfId="0" applyFont="1" applyFill="1" applyBorder="1"/>
    <xf numFmtId="3" fontId="15" fillId="9" borderId="46" xfId="0" applyNumberFormat="1" applyFont="1" applyFill="1" applyBorder="1"/>
    <xf numFmtId="0" fontId="21" fillId="0" borderId="45" xfId="0" applyFont="1" applyFill="1" applyBorder="1" applyAlignment="1">
      <alignment wrapText="1"/>
    </xf>
    <xf numFmtId="0" fontId="21" fillId="0" borderId="45" xfId="0" applyFont="1" applyFill="1" applyBorder="1"/>
    <xf numFmtId="0" fontId="15" fillId="0" borderId="59" xfId="0" applyFont="1" applyFill="1" applyBorder="1"/>
    <xf numFmtId="0" fontId="15" fillId="0" borderId="60" xfId="0" applyFont="1" applyBorder="1" applyAlignment="1">
      <alignment horizontal="center"/>
    </xf>
    <xf numFmtId="3" fontId="15" fillId="0" borderId="60" xfId="0" applyNumberFormat="1" applyFont="1" applyBorder="1" applyAlignment="1">
      <alignment horizontal="center"/>
    </xf>
    <xf numFmtId="3" fontId="15" fillId="9" borderId="61" xfId="0" applyNumberFormat="1" applyFont="1" applyFill="1" applyBorder="1"/>
    <xf numFmtId="0" fontId="15" fillId="0" borderId="62" xfId="0" applyFont="1" applyBorder="1" applyAlignment="1">
      <alignment vertical="center"/>
    </xf>
    <xf numFmtId="0" fontId="15" fillId="0" borderId="62" xfId="0" applyFont="1" applyBorder="1" applyAlignment="1">
      <alignment horizontal="center" vertical="center"/>
    </xf>
    <xf numFmtId="3" fontId="15" fillId="0" borderId="62" xfId="0" applyNumberFormat="1" applyFont="1" applyBorder="1" applyAlignment="1">
      <alignment vertical="center"/>
    </xf>
    <xf numFmtId="0" fontId="15" fillId="10" borderId="63" xfId="0" applyFont="1" applyFill="1" applyBorder="1" applyAlignment="1">
      <alignment vertical="center"/>
    </xf>
    <xf numFmtId="0" fontId="15" fillId="10" borderId="63" xfId="0" applyFont="1" applyFill="1" applyBorder="1" applyAlignment="1">
      <alignment horizontal="center" vertical="center"/>
    </xf>
    <xf numFmtId="3" fontId="15" fillId="10" borderId="63" xfId="0" applyNumberFormat="1" applyFont="1" applyFill="1" applyBorder="1" applyAlignment="1">
      <alignment vertical="center"/>
    </xf>
    <xf numFmtId="0" fontId="18" fillId="0" borderId="0" xfId="0" applyFont="1" applyAlignment="1">
      <alignment vertical="center"/>
    </xf>
    <xf numFmtId="0" fontId="21" fillId="11" borderId="38" xfId="0" applyFont="1" applyFill="1" applyBorder="1" applyAlignment="1">
      <alignment vertical="center"/>
    </xf>
    <xf numFmtId="0" fontId="21" fillId="11" borderId="55" xfId="0" applyFont="1" applyFill="1" applyBorder="1" applyAlignment="1">
      <alignment vertical="center"/>
    </xf>
    <xf numFmtId="0" fontId="21" fillId="9" borderId="24" xfId="0" applyFont="1" applyFill="1" applyBorder="1" applyAlignment="1">
      <alignment vertical="center"/>
    </xf>
    <xf numFmtId="0" fontId="15" fillId="9" borderId="25" xfId="0" applyFont="1" applyFill="1" applyBorder="1" applyAlignment="1">
      <alignment horizontal="center" vertical="center"/>
    </xf>
    <xf numFmtId="0" fontId="15" fillId="9" borderId="25" xfId="0" applyFont="1" applyFill="1" applyBorder="1" applyAlignment="1">
      <alignment vertical="center"/>
    </xf>
    <xf numFmtId="3" fontId="22" fillId="9" borderId="55" xfId="0" applyNumberFormat="1" applyFont="1" applyFill="1" applyBorder="1" applyAlignment="1">
      <alignment vertical="center"/>
    </xf>
    <xf numFmtId="0" fontId="21" fillId="9" borderId="39" xfId="0" applyFont="1" applyFill="1" applyBorder="1" applyAlignment="1">
      <alignment vertical="center"/>
    </xf>
    <xf numFmtId="0" fontId="15" fillId="9" borderId="40" xfId="0" applyFont="1" applyFill="1" applyBorder="1" applyAlignment="1">
      <alignment horizontal="center" vertical="center"/>
    </xf>
    <xf numFmtId="0" fontId="15" fillId="9" borderId="41" xfId="0" applyFont="1" applyFill="1" applyBorder="1" applyAlignment="1">
      <alignment vertical="center"/>
    </xf>
    <xf numFmtId="3" fontId="22" fillId="9" borderId="38" xfId="0" applyNumberFormat="1" applyFont="1" applyFill="1" applyBorder="1" applyAlignment="1">
      <alignment vertical="center"/>
    </xf>
    <xf numFmtId="0" fontId="21" fillId="9" borderId="27" xfId="0" applyFont="1" applyFill="1" applyBorder="1" applyAlignment="1">
      <alignment vertical="center"/>
    </xf>
    <xf numFmtId="0" fontId="15" fillId="9" borderId="12" xfId="0" applyFont="1" applyFill="1" applyBorder="1" applyAlignment="1">
      <alignment horizontal="center" vertical="center"/>
    </xf>
    <xf numFmtId="0" fontId="15" fillId="9" borderId="12" xfId="0" applyFont="1" applyFill="1" applyBorder="1" applyAlignment="1">
      <alignment vertical="center"/>
    </xf>
    <xf numFmtId="3" fontId="22" fillId="9" borderId="64" xfId="0" applyNumberFormat="1" applyFont="1" applyFill="1" applyBorder="1" applyAlignment="1">
      <alignment vertical="center"/>
    </xf>
    <xf numFmtId="0" fontId="21" fillId="9" borderId="29" xfId="0" applyFont="1" applyFill="1" applyBorder="1" applyAlignment="1">
      <alignment vertical="center"/>
    </xf>
    <xf numFmtId="0" fontId="15" fillId="9" borderId="30" xfId="0" applyFont="1" applyFill="1" applyBorder="1" applyAlignment="1">
      <alignment horizontal="center" vertical="center"/>
    </xf>
    <xf numFmtId="0" fontId="15" fillId="9" borderId="30" xfId="0" applyFont="1" applyFill="1" applyBorder="1" applyAlignment="1">
      <alignment vertical="center"/>
    </xf>
    <xf numFmtId="3" fontId="22" fillId="9" borderId="65" xfId="0" applyNumberFormat="1" applyFont="1" applyFill="1" applyBorder="1" applyAlignment="1">
      <alignment vertical="center"/>
    </xf>
    <xf numFmtId="0" fontId="15" fillId="9" borderId="42" xfId="0" applyFont="1" applyFill="1" applyBorder="1" applyAlignment="1">
      <alignment horizontal="center"/>
    </xf>
    <xf numFmtId="49" fontId="5" fillId="2" borderId="5" xfId="0" applyNumberFormat="1" applyFont="1" applyFill="1" applyBorder="1" applyAlignment="1">
      <alignment horizontal="right" vertical="center"/>
    </xf>
    <xf numFmtId="49" fontId="5" fillId="2" borderId="5" xfId="0" applyNumberFormat="1" applyFont="1" applyFill="1" applyBorder="1" applyAlignment="1">
      <alignment horizontal="center"/>
    </xf>
    <xf numFmtId="3" fontId="15" fillId="9" borderId="34" xfId="0" applyNumberFormat="1" applyFont="1" applyFill="1" applyBorder="1" applyAlignment="1">
      <alignment horizontal="right"/>
    </xf>
    <xf numFmtId="3" fontId="15" fillId="0" borderId="12" xfId="0" applyNumberFormat="1" applyFont="1" applyBorder="1" applyAlignment="1">
      <alignment horizontal="right" vertical="center"/>
    </xf>
    <xf numFmtId="3" fontId="15" fillId="0" borderId="12" xfId="0" applyNumberFormat="1" applyFont="1" applyBorder="1" applyAlignment="1">
      <alignment vertical="center"/>
    </xf>
    <xf numFmtId="3" fontId="15" fillId="0" borderId="34" xfId="1" applyNumberFormat="1" applyFont="1" applyBorder="1" applyAlignment="1">
      <alignment horizontal="left"/>
    </xf>
    <xf numFmtId="3" fontId="15" fillId="0" borderId="34" xfId="1" applyNumberFormat="1" applyFont="1" applyBorder="1" applyAlignment="1">
      <alignment horizontal="center"/>
    </xf>
    <xf numFmtId="4" fontId="15" fillId="0" borderId="34" xfId="1" applyNumberFormat="1" applyFont="1" applyBorder="1" applyAlignment="1">
      <alignment horizontal="center"/>
    </xf>
    <xf numFmtId="3" fontId="15" fillId="0" borderId="34" xfId="0" applyNumberFormat="1" applyFont="1" applyBorder="1" applyAlignment="1">
      <alignment horizontal="left"/>
    </xf>
    <xf numFmtId="4" fontId="15" fillId="0" borderId="34" xfId="0" applyNumberFormat="1" applyFont="1" applyBorder="1" applyAlignment="1">
      <alignment horizontal="center"/>
    </xf>
    <xf numFmtId="3" fontId="15" fillId="0" borderId="34" xfId="0" applyNumberFormat="1" applyFont="1" applyBorder="1" applyAlignment="1">
      <alignment horizontal="center" vertical="center"/>
    </xf>
    <xf numFmtId="3" fontId="15" fillId="0" borderId="12" xfId="0" applyNumberFormat="1" applyFont="1" applyBorder="1" applyAlignment="1">
      <alignment horizontal="center" vertical="center"/>
    </xf>
    <xf numFmtId="3" fontId="15" fillId="0" borderId="34" xfId="0" applyNumberFormat="1" applyFont="1" applyFill="1" applyBorder="1"/>
    <xf numFmtId="3" fontId="15" fillId="0" borderId="34" xfId="0" applyNumberFormat="1" applyFont="1" applyFill="1" applyBorder="1" applyAlignment="1">
      <alignment horizontal="center"/>
    </xf>
    <xf numFmtId="4" fontId="15" fillId="0" borderId="34" xfId="0" applyNumberFormat="1" applyFont="1" applyFill="1" applyBorder="1" applyAlignment="1">
      <alignment horizontal="center"/>
    </xf>
    <xf numFmtId="3" fontId="15" fillId="0" borderId="34" xfId="0" applyNumberFormat="1" applyFont="1" applyFill="1" applyBorder="1" applyAlignment="1">
      <alignment horizontal="center" wrapText="1"/>
    </xf>
    <xf numFmtId="3" fontId="15" fillId="0" borderId="34" xfId="0" applyNumberFormat="1" applyFont="1" applyBorder="1" applyAlignment="1">
      <alignment horizontal="right"/>
    </xf>
    <xf numFmtId="172" fontId="15" fillId="0" borderId="34" xfId="0" applyNumberFormat="1" applyFont="1" applyBorder="1" applyAlignment="1">
      <alignment horizontal="center"/>
    </xf>
    <xf numFmtId="3" fontId="15" fillId="0" borderId="34" xfId="0" applyNumberFormat="1" applyFont="1" applyBorder="1" applyAlignment="1">
      <alignment wrapText="1"/>
    </xf>
    <xf numFmtId="3" fontId="15" fillId="0" borderId="12" xfId="0" applyNumberFormat="1" applyFont="1" applyFill="1" applyBorder="1" applyAlignment="1">
      <alignment vertical="center"/>
    </xf>
    <xf numFmtId="3" fontId="15" fillId="0" borderId="12" xfId="0" applyNumberFormat="1" applyFont="1" applyFill="1" applyBorder="1" applyAlignment="1">
      <alignment horizontal="right" vertical="center"/>
    </xf>
    <xf numFmtId="3" fontId="18" fillId="0" borderId="12" xfId="0" applyNumberFormat="1" applyFont="1" applyBorder="1" applyAlignment="1">
      <alignment vertical="center"/>
    </xf>
    <xf numFmtId="3" fontId="18" fillId="0" borderId="12" xfId="0" applyNumberFormat="1" applyFont="1" applyBorder="1" applyAlignment="1">
      <alignment horizontal="right"/>
    </xf>
    <xf numFmtId="3" fontId="18" fillId="0" borderId="12" xfId="0" applyNumberFormat="1" applyFont="1" applyBorder="1"/>
    <xf numFmtId="3" fontId="13" fillId="2" borderId="5" xfId="0" applyNumberFormat="1" applyFont="1" applyFill="1" applyBorder="1" applyAlignment="1"/>
    <xf numFmtId="3" fontId="25" fillId="2" borderId="5" xfId="0" applyNumberFormat="1" applyFont="1" applyFill="1" applyBorder="1" applyAlignment="1">
      <alignment horizontal="right" wrapText="1"/>
    </xf>
    <xf numFmtId="2" fontId="18" fillId="9" borderId="34" xfId="0" applyNumberFormat="1" applyFont="1" applyFill="1" applyBorder="1" applyAlignment="1">
      <alignment horizontal="left" wrapText="1"/>
    </xf>
    <xf numFmtId="0" fontId="19" fillId="8" borderId="66" xfId="0" applyFont="1" applyFill="1" applyBorder="1" applyAlignment="1">
      <alignment vertical="center"/>
    </xf>
    <xf numFmtId="0" fontId="19" fillId="8" borderId="63" xfId="0" applyFont="1" applyFill="1" applyBorder="1" applyAlignment="1">
      <alignment horizontal="center" vertical="center" wrapText="1"/>
    </xf>
    <xf numFmtId="0" fontId="15" fillId="0" borderId="56" xfId="0" applyFont="1" applyFill="1" applyBorder="1"/>
    <xf numFmtId="0" fontId="18" fillId="0" borderId="57" xfId="0" applyFont="1" applyBorder="1" applyAlignment="1">
      <alignment horizontal="center"/>
    </xf>
    <xf numFmtId="3" fontId="18" fillId="0" borderId="67" xfId="0" applyNumberFormat="1" applyFont="1" applyBorder="1"/>
    <xf numFmtId="3" fontId="15" fillId="0" borderId="68" xfId="0" applyNumberFormat="1" applyFont="1" applyBorder="1"/>
    <xf numFmtId="173" fontId="18" fillId="0" borderId="0" xfId="11" applyNumberFormat="1" applyFont="1" applyAlignment="1">
      <alignment vertical="center"/>
    </xf>
    <xf numFmtId="0" fontId="18" fillId="0" borderId="45" xfId="0" applyFont="1" applyBorder="1" applyAlignment="1">
      <alignment horizontal="left"/>
    </xf>
    <xf numFmtId="0" fontId="18" fillId="0" borderId="34" xfId="0" applyFont="1" applyBorder="1" applyAlignment="1">
      <alignment horizontal="center"/>
    </xf>
    <xf numFmtId="3" fontId="18" fillId="0" borderId="69" xfId="0" applyNumberFormat="1" applyFont="1" applyBorder="1"/>
    <xf numFmtId="3" fontId="15" fillId="0" borderId="70" xfId="0" applyNumberFormat="1" applyFont="1" applyBorder="1"/>
    <xf numFmtId="0" fontId="18" fillId="0" borderId="59" xfId="0" applyFont="1" applyBorder="1" applyAlignment="1">
      <alignment horizontal="left"/>
    </xf>
    <xf numFmtId="0" fontId="18" fillId="0" borderId="60" xfId="0" applyFont="1" applyBorder="1" applyAlignment="1">
      <alignment horizontal="center"/>
    </xf>
    <xf numFmtId="3" fontId="15" fillId="0" borderId="65" xfId="0" applyNumberFormat="1" applyFont="1" applyBorder="1"/>
    <xf numFmtId="0" fontId="17" fillId="8" borderId="63" xfId="0" applyFont="1" applyFill="1" applyBorder="1" applyAlignment="1">
      <alignment vertical="center"/>
    </xf>
    <xf numFmtId="0" fontId="17" fillId="8" borderId="63" xfId="0" applyFont="1" applyFill="1" applyBorder="1" applyAlignment="1">
      <alignment horizontal="center" vertical="center"/>
    </xf>
    <xf numFmtId="3" fontId="17" fillId="8" borderId="63" xfId="0" applyNumberFormat="1" applyFont="1" applyFill="1" applyBorder="1" applyAlignment="1">
      <alignment vertical="center"/>
    </xf>
    <xf numFmtId="0" fontId="18" fillId="0" borderId="12" xfId="0" applyFont="1" applyBorder="1" applyAlignment="1">
      <alignment horizontal="center" vertical="center"/>
    </xf>
    <xf numFmtId="0" fontId="19" fillId="8" borderId="63" xfId="0" applyFont="1" applyFill="1" applyBorder="1" applyAlignment="1">
      <alignment horizontal="center" vertical="center"/>
    </xf>
    <xf numFmtId="0" fontId="18" fillId="0" borderId="71" xfId="0" applyFont="1" applyBorder="1"/>
    <xf numFmtId="0" fontId="18" fillId="0" borderId="72" xfId="0" applyFont="1" applyBorder="1" applyAlignment="1">
      <alignment horizontal="center"/>
    </xf>
    <xf numFmtId="0" fontId="18" fillId="0" borderId="72" xfId="0" applyFont="1" applyBorder="1"/>
    <xf numFmtId="3" fontId="18" fillId="0" borderId="73" xfId="0" applyNumberFormat="1" applyFont="1" applyBorder="1"/>
    <xf numFmtId="3" fontId="15" fillId="0" borderId="38" xfId="0" applyNumberFormat="1" applyFont="1" applyBorder="1"/>
    <xf numFmtId="0" fontId="3" fillId="0" borderId="56" xfId="1" applyFont="1" applyBorder="1" applyAlignment="1">
      <alignment horizontal="left"/>
    </xf>
    <xf numFmtId="0" fontId="3" fillId="0" borderId="57" xfId="1" applyFont="1" applyBorder="1" applyAlignment="1">
      <alignment horizontal="center"/>
    </xf>
    <xf numFmtId="3" fontId="3" fillId="0" borderId="57" xfId="1" applyNumberFormat="1" applyFont="1" applyBorder="1" applyAlignment="1">
      <alignment horizontal="right"/>
    </xf>
    <xf numFmtId="3" fontId="24" fillId="0" borderId="58" xfId="1" applyNumberFormat="1" applyFont="1" applyBorder="1" applyAlignment="1">
      <alignment horizontal="right"/>
    </xf>
    <xf numFmtId="0" fontId="3" fillId="0" borderId="59" xfId="1" applyFont="1" applyBorder="1" applyAlignment="1">
      <alignment horizontal="left"/>
    </xf>
    <xf numFmtId="0" fontId="3" fillId="0" borderId="60" xfId="1" applyFont="1" applyBorder="1" applyAlignment="1">
      <alignment horizontal="center"/>
    </xf>
    <xf numFmtId="3" fontId="3" fillId="0" borderId="60" xfId="1" applyNumberFormat="1" applyFont="1" applyBorder="1" applyAlignment="1">
      <alignment horizontal="right"/>
    </xf>
    <xf numFmtId="3" fontId="24" fillId="0" borderId="61" xfId="1" applyNumberFormat="1" applyFont="1" applyBorder="1" applyAlignment="1">
      <alignment horizontal="right"/>
    </xf>
    <xf numFmtId="0" fontId="19" fillId="8" borderId="66" xfId="0" applyFont="1" applyFill="1" applyBorder="1" applyAlignment="1">
      <alignment horizontal="center" vertical="center" wrapText="1"/>
    </xf>
    <xf numFmtId="0" fontId="27" fillId="0" borderId="56" xfId="0" applyFont="1" applyFill="1" applyBorder="1" applyAlignment="1">
      <alignment wrapText="1"/>
    </xf>
    <xf numFmtId="0" fontId="18" fillId="0" borderId="57" xfId="0" applyFont="1" applyBorder="1"/>
    <xf numFmtId="0" fontId="18" fillId="0" borderId="67" xfId="0" applyFont="1" applyBorder="1"/>
    <xf numFmtId="3" fontId="15" fillId="9" borderId="68" xfId="0" applyNumberFormat="1" applyFont="1" applyFill="1" applyBorder="1"/>
    <xf numFmtId="0" fontId="3" fillId="0" borderId="34" xfId="1" applyFont="1" applyBorder="1" applyAlignment="1">
      <alignment horizontal="center"/>
    </xf>
    <xf numFmtId="3" fontId="15" fillId="9" borderId="74" xfId="0" applyNumberFormat="1" applyFont="1" applyFill="1" applyBorder="1"/>
    <xf numFmtId="0" fontId="21" fillId="0" borderId="59" xfId="0" applyFont="1" applyFill="1" applyBorder="1"/>
    <xf numFmtId="3" fontId="18" fillId="0" borderId="75" xfId="0" applyNumberFormat="1" applyFont="1" applyBorder="1"/>
    <xf numFmtId="3" fontId="15" fillId="9" borderId="76" xfId="0" applyNumberFormat="1" applyFont="1" applyFill="1" applyBorder="1"/>
    <xf numFmtId="3" fontId="17" fillId="8" borderId="62" xfId="0" applyNumberFormat="1" applyFont="1" applyFill="1" applyBorder="1" applyAlignment="1">
      <alignment vertical="center"/>
    </xf>
    <xf numFmtId="0" fontId="18" fillId="0" borderId="12" xfId="0" applyFont="1" applyFill="1" applyBorder="1" applyAlignment="1">
      <alignment vertical="center"/>
    </xf>
    <xf numFmtId="0" fontId="19" fillId="8" borderId="66" xfId="0" applyFont="1" applyFill="1" applyBorder="1" applyAlignment="1">
      <alignment horizontal="center" vertical="center"/>
    </xf>
    <xf numFmtId="0" fontId="18" fillId="0" borderId="71" xfId="0" applyFont="1" applyBorder="1" applyAlignment="1">
      <alignment vertical="center"/>
    </xf>
    <xf numFmtId="0" fontId="18" fillId="0" borderId="72" xfId="0" applyFont="1" applyBorder="1" applyAlignment="1">
      <alignment horizontal="center" vertical="center"/>
    </xf>
    <xf numFmtId="0" fontId="28" fillId="0" borderId="72" xfId="0" applyFont="1" applyBorder="1" applyAlignment="1">
      <alignment horizontal="center" vertical="center"/>
    </xf>
    <xf numFmtId="3" fontId="18" fillId="0" borderId="73" xfId="0" applyNumberFormat="1" applyFont="1" applyBorder="1" applyAlignment="1">
      <alignment vertical="center"/>
    </xf>
    <xf numFmtId="3" fontId="18" fillId="0" borderId="38" xfId="0" applyNumberFormat="1" applyFont="1" applyBorder="1" applyAlignment="1">
      <alignment vertical="center"/>
    </xf>
    <xf numFmtId="0" fontId="17" fillId="8" borderId="62" xfId="0" applyFont="1" applyFill="1" applyBorder="1" applyAlignment="1">
      <alignment vertical="center"/>
    </xf>
    <xf numFmtId="0" fontId="17" fillId="8" borderId="62" xfId="0" applyFont="1" applyFill="1" applyBorder="1" applyAlignment="1">
      <alignment horizontal="center" vertical="center"/>
    </xf>
    <xf numFmtId="0" fontId="19" fillId="8" borderId="77" xfId="0" applyFont="1" applyFill="1" applyBorder="1" applyAlignment="1">
      <alignment vertical="center"/>
    </xf>
    <xf numFmtId="0" fontId="17" fillId="8" borderId="78" xfId="0" applyFont="1" applyFill="1" applyBorder="1" applyAlignment="1">
      <alignment horizontal="center" vertical="center"/>
    </xf>
    <xf numFmtId="0" fontId="17" fillId="8" borderId="78" xfId="0" applyFont="1" applyFill="1" applyBorder="1" applyAlignment="1">
      <alignment vertical="center"/>
    </xf>
    <xf numFmtId="3" fontId="17" fillId="8" borderId="79" xfId="0" applyNumberFormat="1" applyFont="1" applyFill="1" applyBorder="1" applyAlignment="1">
      <alignment vertical="center"/>
    </xf>
    <xf numFmtId="49" fontId="13" fillId="2" borderId="5" xfId="0" applyNumberFormat="1" applyFont="1" applyFill="1" applyBorder="1" applyAlignment="1">
      <alignment horizontal="left"/>
    </xf>
    <xf numFmtId="49" fontId="13" fillId="2" borderId="5" xfId="0" applyNumberFormat="1" applyFont="1" applyFill="1" applyBorder="1" applyAlignment="1">
      <alignment horizontal="center"/>
    </xf>
    <xf numFmtId="3" fontId="18" fillId="9" borderId="34" xfId="0" applyNumberFormat="1" applyFont="1" applyFill="1" applyBorder="1" applyAlignment="1">
      <alignment horizontal="center"/>
    </xf>
    <xf numFmtId="49" fontId="5" fillId="2" borderId="5" xfId="0" applyNumberFormat="1" applyFont="1" applyFill="1" applyBorder="1" applyAlignment="1">
      <alignment horizontal="center" wrapText="1"/>
    </xf>
    <xf numFmtId="14" fontId="5" fillId="2" borderId="5" xfId="0" applyNumberFormat="1" applyFont="1" applyFill="1" applyBorder="1" applyAlignment="1">
      <alignment horizontal="center"/>
    </xf>
    <xf numFmtId="3" fontId="17" fillId="8" borderId="12" xfId="0" applyNumberFormat="1" applyFont="1" applyFill="1" applyBorder="1" applyAlignment="1">
      <alignment horizontal="center" vertical="center" wrapText="1"/>
    </xf>
    <xf numFmtId="3" fontId="18" fillId="0" borderId="12" xfId="11" applyNumberFormat="1" applyFont="1" applyBorder="1" applyAlignment="1">
      <alignment vertical="center"/>
    </xf>
    <xf numFmtId="3" fontId="18" fillId="0" borderId="34" xfId="0" applyNumberFormat="1" applyFont="1" applyBorder="1" applyAlignment="1">
      <alignment horizontal="left"/>
    </xf>
    <xf numFmtId="3" fontId="18" fillId="0" borderId="34" xfId="0" applyNumberFormat="1" applyFont="1" applyBorder="1" applyAlignment="1">
      <alignment horizontal="center"/>
    </xf>
    <xf numFmtId="4" fontId="18" fillId="0" borderId="34" xfId="0" applyNumberFormat="1" applyFont="1" applyBorder="1" applyAlignment="1">
      <alignment horizontal="center"/>
    </xf>
    <xf numFmtId="3" fontId="18" fillId="0" borderId="34" xfId="0" applyNumberFormat="1" applyFont="1" applyBorder="1" applyAlignment="1">
      <alignment horizontal="left" vertical="center"/>
    </xf>
    <xf numFmtId="3" fontId="18" fillId="0" borderId="34" xfId="0" applyNumberFormat="1" applyFont="1" applyBorder="1" applyAlignment="1">
      <alignment horizontal="center" vertical="center"/>
    </xf>
    <xf numFmtId="3" fontId="18" fillId="0" borderId="34" xfId="0" applyNumberFormat="1" applyFont="1" applyBorder="1" applyAlignment="1">
      <alignment vertical="center"/>
    </xf>
    <xf numFmtId="3" fontId="17" fillId="8" borderId="12" xfId="0" applyNumberFormat="1" applyFont="1" applyFill="1" applyBorder="1" applyAlignment="1">
      <alignment horizontal="center" vertical="center"/>
    </xf>
    <xf numFmtId="3" fontId="18" fillId="0" borderId="12" xfId="0" applyNumberFormat="1" applyFont="1" applyBorder="1" applyAlignment="1">
      <alignment horizontal="center" vertical="center"/>
    </xf>
    <xf numFmtId="3" fontId="18" fillId="0" borderId="34" xfId="0" applyNumberFormat="1" applyFont="1" applyFill="1" applyBorder="1"/>
    <xf numFmtId="3" fontId="18" fillId="0" borderId="34" xfId="0" applyNumberFormat="1" applyFont="1" applyFill="1" applyBorder="1" applyAlignment="1">
      <alignment horizontal="center"/>
    </xf>
    <xf numFmtId="4" fontId="18" fillId="0" borderId="34" xfId="0" applyNumberFormat="1" applyFont="1" applyFill="1" applyBorder="1" applyAlignment="1">
      <alignment horizontal="center"/>
    </xf>
    <xf numFmtId="3" fontId="18" fillId="0" borderId="34" xfId="0" applyNumberFormat="1" applyFont="1" applyFill="1" applyBorder="1" applyAlignment="1">
      <alignment horizontal="center" wrapText="1"/>
    </xf>
    <xf numFmtId="3" fontId="18" fillId="0" borderId="34" xfId="0" applyNumberFormat="1" applyFont="1" applyBorder="1"/>
    <xf numFmtId="3" fontId="29" fillId="0" borderId="34" xfId="1" applyNumberFormat="1" applyFont="1" applyBorder="1" applyAlignment="1">
      <alignment horizontal="center"/>
    </xf>
    <xf numFmtId="3" fontId="18" fillId="0" borderId="34" xfId="0" applyNumberFormat="1" applyFont="1" applyBorder="1" applyAlignment="1">
      <alignment horizontal="right"/>
    </xf>
    <xf numFmtId="3" fontId="18" fillId="0" borderId="34" xfId="1" applyNumberFormat="1" applyFont="1" applyBorder="1" applyAlignment="1"/>
    <xf numFmtId="3" fontId="18" fillId="0" borderId="34" xfId="1" applyNumberFormat="1" applyFont="1" applyBorder="1" applyAlignment="1">
      <alignment horizontal="center"/>
    </xf>
    <xf numFmtId="3" fontId="18" fillId="0" borderId="34" xfId="11" applyNumberFormat="1" applyFont="1" applyBorder="1" applyAlignment="1">
      <alignment horizontal="right"/>
    </xf>
    <xf numFmtId="3" fontId="18" fillId="0" borderId="12" xfId="0" applyNumberFormat="1" applyFont="1" applyFill="1" applyBorder="1" applyAlignment="1">
      <alignment vertical="center"/>
    </xf>
    <xf numFmtId="0" fontId="9" fillId="6" borderId="37" xfId="0" applyNumberFormat="1" applyFont="1" applyFill="1" applyBorder="1" applyAlignment="1">
      <alignment horizontal="center" vertical="center" wrapText="1"/>
    </xf>
    <xf numFmtId="166" fontId="9" fillId="6" borderId="34" xfId="0" applyNumberFormat="1" applyFont="1" applyFill="1" applyBorder="1" applyAlignment="1">
      <alignment horizontal="center" vertical="center"/>
    </xf>
    <xf numFmtId="0" fontId="18" fillId="0" borderId="63" xfId="0" applyFont="1" applyBorder="1" applyAlignment="1">
      <alignment horizontal="center" vertical="center" wrapText="1"/>
    </xf>
    <xf numFmtId="0" fontId="19" fillId="12" borderId="66" xfId="0" applyFont="1" applyFill="1" applyBorder="1" applyAlignment="1">
      <alignment vertical="center"/>
    </xf>
    <xf numFmtId="0" fontId="19" fillId="10" borderId="66" xfId="0" applyFont="1" applyFill="1" applyBorder="1" applyAlignment="1">
      <alignment horizontal="center" vertical="center" wrapText="1"/>
    </xf>
    <xf numFmtId="0" fontId="18" fillId="0" borderId="34" xfId="0" applyFont="1" applyBorder="1" applyAlignment="1">
      <alignment vertical="center"/>
    </xf>
    <xf numFmtId="0" fontId="18" fillId="0" borderId="34" xfId="0" applyFont="1" applyBorder="1" applyAlignment="1">
      <alignment horizontal="center" vertical="center"/>
    </xf>
    <xf numFmtId="3" fontId="17" fillId="10" borderId="62" xfId="0" applyNumberFormat="1" applyFont="1" applyFill="1" applyBorder="1" applyAlignment="1">
      <alignment vertical="center"/>
    </xf>
    <xf numFmtId="0" fontId="19" fillId="10" borderId="66" xfId="0" applyFont="1" applyFill="1" applyBorder="1" applyAlignment="1">
      <alignment horizontal="center" vertical="center"/>
    </xf>
    <xf numFmtId="0" fontId="17" fillId="10" borderId="62" xfId="0" applyFont="1" applyFill="1" applyBorder="1" applyAlignment="1">
      <alignment vertical="center"/>
    </xf>
    <xf numFmtId="0" fontId="18" fillId="0" borderId="34" xfId="0" applyFont="1" applyBorder="1" applyAlignment="1">
      <alignment horizontal="left" vertical="center" wrapText="1"/>
    </xf>
    <xf numFmtId="0" fontId="27" fillId="0" borderId="34" xfId="0" applyFont="1" applyBorder="1" applyAlignment="1">
      <alignment vertical="center"/>
    </xf>
    <xf numFmtId="172" fontId="18" fillId="0" borderId="34" xfId="0" applyNumberFormat="1" applyFont="1" applyBorder="1" applyAlignment="1">
      <alignment horizontal="center" vertical="center"/>
    </xf>
    <xf numFmtId="14" fontId="5" fillId="2" borderId="5" xfId="0" applyNumberFormat="1" applyFont="1" applyFill="1" applyBorder="1" applyAlignment="1">
      <alignment horizontal="center" vertical="center"/>
    </xf>
    <xf numFmtId="0" fontId="21" fillId="9" borderId="66" xfId="0" applyFont="1" applyFill="1" applyBorder="1" applyAlignment="1">
      <alignment vertical="center"/>
    </xf>
    <xf numFmtId="166" fontId="9" fillId="6" borderId="34" xfId="0" applyNumberFormat="1" applyFont="1" applyFill="1" applyBorder="1" applyAlignment="1">
      <alignment horizontal="left" vertical="center"/>
    </xf>
    <xf numFmtId="3" fontId="30" fillId="8" borderId="34" xfId="0" applyNumberFormat="1" applyFont="1" applyFill="1" applyBorder="1" applyAlignment="1">
      <alignment vertical="center"/>
    </xf>
    <xf numFmtId="3" fontId="30" fillId="8" borderId="34" xfId="0" applyNumberFormat="1" applyFont="1" applyFill="1" applyBorder="1" applyAlignment="1">
      <alignment horizontal="center" vertical="center"/>
    </xf>
    <xf numFmtId="3" fontId="30" fillId="8" borderId="48" xfId="0" applyNumberFormat="1" applyFont="1" applyFill="1" applyBorder="1" applyAlignment="1">
      <alignment vertical="center"/>
    </xf>
    <xf numFmtId="3" fontId="30" fillId="8" borderId="48" xfId="0" applyNumberFormat="1" applyFont="1" applyFill="1" applyBorder="1" applyAlignment="1">
      <alignment horizontal="center" vertical="center"/>
    </xf>
    <xf numFmtId="3" fontId="30" fillId="8" borderId="71" xfId="0" applyNumberFormat="1" applyFont="1" applyFill="1" applyBorder="1" applyAlignment="1">
      <alignment vertical="center"/>
    </xf>
    <xf numFmtId="3" fontId="30" fillId="8" borderId="72" xfId="0" applyNumberFormat="1" applyFont="1" applyFill="1" applyBorder="1" applyAlignment="1">
      <alignment horizontal="center" vertical="center"/>
    </xf>
    <xf numFmtId="3" fontId="30" fillId="8" borderId="72" xfId="0" applyNumberFormat="1" applyFont="1" applyFill="1" applyBorder="1" applyAlignment="1">
      <alignment vertical="center"/>
    </xf>
    <xf numFmtId="3" fontId="30" fillId="8" borderId="83" xfId="0" applyNumberFormat="1" applyFont="1" applyFill="1" applyBorder="1" applyAlignment="1">
      <alignment vertical="center"/>
    </xf>
    <xf numFmtId="0" fontId="30" fillId="9" borderId="86" xfId="0" applyFont="1" applyFill="1" applyBorder="1" applyAlignment="1">
      <alignment vertical="center"/>
    </xf>
    <xf numFmtId="0" fontId="30" fillId="9" borderId="87" xfId="0" applyFont="1" applyFill="1" applyBorder="1" applyAlignment="1">
      <alignment horizontal="center" vertical="center"/>
    </xf>
    <xf numFmtId="0" fontId="30" fillId="9" borderId="87" xfId="0" applyFont="1" applyFill="1" applyBorder="1" applyAlignment="1">
      <alignment vertical="center"/>
    </xf>
    <xf numFmtId="3" fontId="30" fillId="9" borderId="84" xfId="0" applyNumberFormat="1" applyFont="1" applyFill="1" applyBorder="1" applyAlignment="1">
      <alignment vertical="center"/>
    </xf>
    <xf numFmtId="0" fontId="30" fillId="9" borderId="88" xfId="0" applyFont="1" applyFill="1" applyBorder="1" applyAlignment="1">
      <alignment vertical="center"/>
    </xf>
    <xf numFmtId="0" fontId="30" fillId="9" borderId="78" xfId="0" applyFont="1" applyFill="1" applyBorder="1" applyAlignment="1">
      <alignment horizontal="center" vertical="center"/>
    </xf>
    <xf numFmtId="0" fontId="30" fillId="9" borderId="78" xfId="0" applyFont="1" applyFill="1" applyBorder="1" applyAlignment="1">
      <alignment vertical="center"/>
    </xf>
    <xf numFmtId="3" fontId="30" fillId="9" borderId="85" xfId="0" applyNumberFormat="1" applyFont="1" applyFill="1" applyBorder="1" applyAlignment="1">
      <alignment vertical="center"/>
    </xf>
    <xf numFmtId="0" fontId="30" fillId="9" borderId="89" xfId="0" applyFont="1" applyFill="1" applyBorder="1" applyAlignment="1">
      <alignment vertical="center"/>
    </xf>
    <xf numFmtId="0" fontId="30" fillId="9" borderId="90" xfId="0" applyFont="1" applyFill="1" applyBorder="1" applyAlignment="1">
      <alignment horizontal="center" vertical="center"/>
    </xf>
    <xf numFmtId="0" fontId="30" fillId="9" borderId="90" xfId="0" applyFont="1" applyFill="1" applyBorder="1" applyAlignment="1">
      <alignment vertical="center"/>
    </xf>
    <xf numFmtId="3" fontId="30" fillId="9" borderId="91" xfId="0" applyNumberFormat="1" applyFont="1" applyFill="1" applyBorder="1" applyAlignment="1">
      <alignment vertical="center"/>
    </xf>
    <xf numFmtId="0" fontId="31" fillId="9" borderId="39" xfId="0" applyFont="1" applyFill="1" applyBorder="1" applyAlignment="1">
      <alignment vertical="center"/>
    </xf>
    <xf numFmtId="0" fontId="31" fillId="9" borderId="40" xfId="0" applyFont="1" applyFill="1" applyBorder="1" applyAlignment="1">
      <alignment horizontal="center" vertical="center"/>
    </xf>
    <xf numFmtId="0" fontId="31" fillId="9" borderId="40" xfId="0" applyFont="1" applyFill="1" applyBorder="1" applyAlignment="1">
      <alignment vertical="center"/>
    </xf>
    <xf numFmtId="3" fontId="31" fillId="9" borderId="38" xfId="0" applyNumberFormat="1" applyFont="1" applyFill="1" applyBorder="1" applyAlignment="1">
      <alignment vertical="center"/>
    </xf>
    <xf numFmtId="0" fontId="3" fillId="0" borderId="63" xfId="0" applyFont="1" applyFill="1" applyBorder="1" applyAlignment="1">
      <alignment horizontal="center"/>
    </xf>
    <xf numFmtId="0" fontId="32" fillId="12" borderId="12" xfId="7" applyFont="1" applyFill="1" applyBorder="1" applyAlignment="1">
      <alignment wrapText="1"/>
    </xf>
    <xf numFmtId="0" fontId="18" fillId="0" borderId="12" xfId="0" applyFont="1" applyBorder="1"/>
    <xf numFmtId="0" fontId="17" fillId="0" borderId="12" xfId="0" applyFont="1" applyBorder="1"/>
    <xf numFmtId="0" fontId="32" fillId="10" borderId="63" xfId="0" applyFont="1" applyFill="1" applyBorder="1" applyAlignment="1">
      <alignment horizontal="center" vertical="center" wrapText="1"/>
    </xf>
    <xf numFmtId="0" fontId="23" fillId="0" borderId="63" xfId="12" applyFont="1" applyFill="1" applyBorder="1" applyAlignment="1"/>
    <xf numFmtId="0" fontId="3" fillId="0" borderId="63" xfId="0" applyFont="1" applyBorder="1" applyAlignment="1">
      <alignment horizontal="center"/>
    </xf>
    <xf numFmtId="0" fontId="23" fillId="0" borderId="63" xfId="10" applyNumberFormat="1" applyFont="1" applyFill="1" applyBorder="1" applyAlignment="1">
      <alignment horizontal="center"/>
    </xf>
    <xf numFmtId="0" fontId="23" fillId="0" borderId="63" xfId="0" applyFont="1" applyFill="1" applyBorder="1" applyAlignment="1">
      <alignment horizontal="center"/>
    </xf>
    <xf numFmtId="3" fontId="23" fillId="0" borderId="63" xfId="10" applyNumberFormat="1" applyFont="1" applyFill="1" applyBorder="1" applyAlignment="1">
      <alignment horizontal="center"/>
    </xf>
    <xf numFmtId="3" fontId="23" fillId="0" borderId="63" xfId="0" applyNumberFormat="1" applyFont="1" applyBorder="1" applyAlignment="1">
      <alignment horizontal="center"/>
    </xf>
    <xf numFmtId="0" fontId="23" fillId="0" borderId="63" xfId="12" applyFont="1" applyFill="1" applyBorder="1" applyAlignment="1">
      <alignment vertical="center" wrapText="1"/>
    </xf>
    <xf numFmtId="0" fontId="23" fillId="0" borderId="63" xfId="5" applyNumberFormat="1" applyFont="1" applyFill="1" applyBorder="1" applyAlignment="1">
      <alignment horizontal="center"/>
    </xf>
    <xf numFmtId="0" fontId="23" fillId="0" borderId="63" xfId="1" applyFont="1" applyFill="1" applyBorder="1" applyAlignment="1"/>
    <xf numFmtId="0" fontId="23" fillId="0" borderId="63" xfId="1" applyNumberFormat="1" applyFont="1" applyFill="1" applyBorder="1" applyAlignment="1">
      <alignment horizontal="center"/>
    </xf>
    <xf numFmtId="1" fontId="23" fillId="0" borderId="63" xfId="10" applyNumberFormat="1" applyFont="1" applyFill="1" applyBorder="1" applyAlignment="1">
      <alignment horizontal="center"/>
    </xf>
    <xf numFmtId="3" fontId="23" fillId="0" borderId="63" xfId="0" applyNumberFormat="1" applyFont="1" applyFill="1" applyBorder="1" applyAlignment="1">
      <alignment horizontal="center"/>
    </xf>
    <xf numFmtId="0" fontId="23" fillId="0" borderId="63" xfId="12" applyFont="1" applyFill="1" applyBorder="1" applyAlignment="1">
      <alignment wrapText="1"/>
    </xf>
    <xf numFmtId="0" fontId="33" fillId="10" borderId="63" xfId="0" applyFont="1" applyFill="1" applyBorder="1"/>
    <xf numFmtId="0" fontId="33" fillId="10" borderId="63" xfId="0" applyFont="1" applyFill="1" applyBorder="1" applyAlignment="1"/>
    <xf numFmtId="3" fontId="33" fillId="10" borderId="63" xfId="0" applyNumberFormat="1" applyFont="1" applyFill="1" applyBorder="1" applyAlignment="1">
      <alignment horizontal="center"/>
    </xf>
    <xf numFmtId="3" fontId="18" fillId="0" borderId="12" xfId="0" applyNumberFormat="1" applyFont="1" applyBorder="1" applyAlignment="1">
      <alignment horizontal="center"/>
    </xf>
    <xf numFmtId="0" fontId="3" fillId="0" borderId="12" xfId="0" applyFont="1" applyBorder="1"/>
    <xf numFmtId="3" fontId="3" fillId="0" borderId="12" xfId="0" applyNumberFormat="1" applyFont="1" applyBorder="1" applyAlignment="1">
      <alignment horizontal="center"/>
    </xf>
    <xf numFmtId="3" fontId="32" fillId="10" borderId="63" xfId="0" applyNumberFormat="1" applyFont="1" applyFill="1" applyBorder="1" applyAlignment="1">
      <alignment horizontal="center" vertical="center" wrapText="1"/>
    </xf>
    <xf numFmtId="3" fontId="23" fillId="0" borderId="63" xfId="5" applyNumberFormat="1" applyFont="1" applyFill="1" applyBorder="1" applyAlignment="1">
      <alignment horizontal="center"/>
    </xf>
    <xf numFmtId="0" fontId="34" fillId="9" borderId="63" xfId="0" applyFont="1" applyFill="1" applyBorder="1" applyAlignment="1">
      <alignment horizontal="left" vertical="center" wrapText="1"/>
    </xf>
    <xf numFmtId="0" fontId="34" fillId="9" borderId="63" xfId="0" applyFont="1" applyFill="1" applyBorder="1" applyAlignment="1">
      <alignment horizontal="center" vertical="center" wrapText="1"/>
    </xf>
    <xf numFmtId="3" fontId="34" fillId="9" borderId="63" xfId="0" applyNumberFormat="1" applyFont="1" applyFill="1" applyBorder="1" applyAlignment="1">
      <alignment horizontal="center" vertical="center" wrapText="1"/>
    </xf>
    <xf numFmtId="0" fontId="23" fillId="9" borderId="63" xfId="12" applyFont="1" applyFill="1" applyBorder="1" applyAlignment="1"/>
    <xf numFmtId="169" fontId="23" fillId="9" borderId="63" xfId="5" applyFont="1" applyFill="1" applyBorder="1" applyAlignment="1">
      <alignment horizontal="center"/>
    </xf>
    <xf numFmtId="174" fontId="23" fillId="9" borderId="63" xfId="11" applyNumberFormat="1" applyFont="1" applyFill="1" applyBorder="1" applyAlignment="1">
      <alignment horizontal="center"/>
    </xf>
    <xf numFmtId="0" fontId="23" fillId="9" borderId="63" xfId="12" applyFont="1" applyFill="1" applyBorder="1" applyAlignment="1">
      <alignment horizontal="center"/>
    </xf>
    <xf numFmtId="3" fontId="23" fillId="9" borderId="63" xfId="1" applyNumberFormat="1" applyFont="1" applyFill="1" applyBorder="1" applyAlignment="1">
      <alignment horizontal="center"/>
    </xf>
    <xf numFmtId="3" fontId="23" fillId="9" borderId="63" xfId="0" applyNumberFormat="1" applyFont="1" applyFill="1" applyBorder="1" applyAlignment="1">
      <alignment horizontal="center"/>
    </xf>
    <xf numFmtId="0" fontId="35" fillId="9" borderId="63" xfId="12" applyFont="1" applyFill="1" applyBorder="1" applyAlignment="1"/>
    <xf numFmtId="175" fontId="23" fillId="9" borderId="63" xfId="11" applyNumberFormat="1" applyFont="1" applyFill="1" applyBorder="1" applyAlignment="1">
      <alignment horizontal="center"/>
    </xf>
    <xf numFmtId="0" fontId="23" fillId="9" borderId="63" xfId="5" applyNumberFormat="1" applyFont="1" applyFill="1" applyBorder="1" applyAlignment="1">
      <alignment horizontal="center"/>
    </xf>
    <xf numFmtId="3" fontId="23" fillId="9" borderId="63" xfId="5" applyNumberFormat="1" applyFont="1" applyFill="1" applyBorder="1" applyAlignment="1">
      <alignment horizontal="center"/>
    </xf>
    <xf numFmtId="0" fontId="23" fillId="9" borderId="12" xfId="12" applyFont="1" applyFill="1" applyBorder="1" applyAlignment="1"/>
    <xf numFmtId="169" fontId="23" fillId="9" borderId="12" xfId="5" applyFont="1" applyFill="1" applyBorder="1" applyAlignment="1">
      <alignment horizontal="center"/>
    </xf>
    <xf numFmtId="0" fontId="23" fillId="9" borderId="12" xfId="5" applyNumberFormat="1" applyFont="1" applyFill="1" applyBorder="1" applyAlignment="1">
      <alignment horizontal="center"/>
    </xf>
    <xf numFmtId="0" fontId="23" fillId="9" borderId="12" xfId="12" applyFont="1" applyFill="1" applyBorder="1" applyAlignment="1">
      <alignment horizontal="center"/>
    </xf>
    <xf numFmtId="3" fontId="23" fillId="9" borderId="12" xfId="5" applyNumberFormat="1" applyFont="1" applyFill="1" applyBorder="1" applyAlignment="1">
      <alignment horizontal="center"/>
    </xf>
    <xf numFmtId="3" fontId="23" fillId="9" borderId="12" xfId="0" applyNumberFormat="1" applyFont="1" applyFill="1" applyBorder="1" applyAlignment="1">
      <alignment horizontal="center"/>
    </xf>
    <xf numFmtId="0" fontId="32" fillId="10" borderId="66" xfId="0" applyFont="1" applyFill="1" applyBorder="1" applyAlignment="1">
      <alignment horizontal="center" vertical="center" wrapText="1"/>
    </xf>
    <xf numFmtId="3" fontId="32" fillId="10" borderId="66" xfId="0" applyNumberFormat="1" applyFont="1" applyFill="1" applyBorder="1" applyAlignment="1">
      <alignment horizontal="center" vertical="center" wrapText="1"/>
    </xf>
    <xf numFmtId="0" fontId="3" fillId="0" borderId="12" xfId="0" applyFont="1" applyFill="1" applyBorder="1"/>
    <xf numFmtId="3" fontId="3" fillId="0" borderId="12" xfId="0" applyNumberFormat="1" applyFont="1" applyFill="1" applyBorder="1" applyAlignment="1">
      <alignment horizontal="center" vertical="center" wrapText="1"/>
    </xf>
    <xf numFmtId="0" fontId="19" fillId="13" borderId="12" xfId="0" applyFont="1" applyFill="1" applyBorder="1" applyAlignment="1">
      <alignment vertical="center"/>
    </xf>
    <xf numFmtId="0" fontId="19" fillId="13" borderId="12" xfId="0" applyFont="1" applyFill="1" applyBorder="1" applyAlignment="1">
      <alignment horizontal="center" vertical="center"/>
    </xf>
    <xf numFmtId="3" fontId="19" fillId="13" borderId="12" xfId="0" applyNumberFormat="1" applyFont="1" applyFill="1" applyBorder="1" applyAlignment="1">
      <alignment horizontal="center" vertical="center"/>
    </xf>
    <xf numFmtId="3" fontId="19" fillId="13" borderId="12" xfId="11" applyNumberFormat="1" applyFont="1" applyFill="1" applyBorder="1" applyAlignment="1">
      <alignment horizontal="center" vertical="center"/>
    </xf>
    <xf numFmtId="0" fontId="19" fillId="10" borderId="12" xfId="0" applyFont="1" applyFill="1" applyBorder="1" applyAlignment="1">
      <alignment vertical="center"/>
    </xf>
    <xf numFmtId="0" fontId="19" fillId="10" borderId="12" xfId="0" applyFont="1" applyFill="1" applyBorder="1" applyAlignment="1">
      <alignment horizontal="center" vertical="center"/>
    </xf>
    <xf numFmtId="3" fontId="19" fillId="10" borderId="12" xfId="0" applyNumberFormat="1" applyFont="1" applyFill="1" applyBorder="1" applyAlignment="1">
      <alignment horizontal="center" vertical="center"/>
    </xf>
    <xf numFmtId="3" fontId="19" fillId="10" borderId="12" xfId="11" applyNumberFormat="1" applyFont="1" applyFill="1" applyBorder="1" applyAlignment="1">
      <alignment horizontal="center" vertical="center"/>
    </xf>
    <xf numFmtId="0" fontId="15" fillId="0" borderId="12" xfId="0" applyFont="1" applyFill="1" applyBorder="1"/>
    <xf numFmtId="0" fontId="18" fillId="9" borderId="34" xfId="0" applyFont="1" applyFill="1" applyBorder="1" applyAlignment="1">
      <alignment horizontal="right"/>
    </xf>
    <xf numFmtId="0" fontId="17" fillId="8" borderId="12" xfId="0" applyFont="1" applyFill="1" applyBorder="1" applyAlignment="1">
      <alignment horizontal="center" vertical="center" wrapText="1"/>
    </xf>
    <xf numFmtId="0" fontId="15" fillId="0" borderId="34" xfId="1" applyFont="1" applyBorder="1"/>
    <xf numFmtId="3" fontId="15" fillId="0" borderId="34" xfId="1" applyNumberFormat="1" applyFont="1" applyBorder="1"/>
    <xf numFmtId="0" fontId="18" fillId="0" borderId="34" xfId="1" applyFont="1" applyBorder="1" applyAlignment="1"/>
    <xf numFmtId="0" fontId="18" fillId="0" borderId="34" xfId="1" applyFont="1" applyBorder="1" applyAlignment="1">
      <alignment horizontal="center"/>
    </xf>
    <xf numFmtId="3" fontId="18" fillId="0" borderId="34" xfId="11" applyNumberFormat="1" applyFont="1" applyBorder="1" applyAlignment="1">
      <alignment horizontal="center"/>
    </xf>
    <xf numFmtId="3" fontId="36" fillId="12" borderId="34" xfId="0" applyNumberFormat="1" applyFont="1" applyFill="1" applyBorder="1" applyAlignment="1">
      <alignment vertical="center" wrapText="1"/>
    </xf>
    <xf numFmtId="3" fontId="38" fillId="0" borderId="0" xfId="0" applyNumberFormat="1" applyFont="1"/>
    <xf numFmtId="3" fontId="38" fillId="9" borderId="34" xfId="0" applyNumberFormat="1" applyFont="1" applyFill="1" applyBorder="1" applyAlignment="1">
      <alignment horizontal="right"/>
    </xf>
    <xf numFmtId="3" fontId="38" fillId="0" borderId="34" xfId="0" applyNumberFormat="1" applyFont="1" applyBorder="1" applyAlignment="1">
      <alignment vertical="center" wrapText="1"/>
    </xf>
    <xf numFmtId="14" fontId="38" fillId="9" borderId="34" xfId="0" applyNumberFormat="1" applyFont="1" applyFill="1" applyBorder="1" applyAlignment="1">
      <alignment horizontal="right"/>
    </xf>
    <xf numFmtId="3" fontId="38" fillId="0" borderId="34" xfId="0" applyNumberFormat="1" applyFont="1" applyBorder="1" applyAlignment="1">
      <alignment horizontal="right"/>
    </xf>
    <xf numFmtId="3" fontId="38" fillId="0" borderId="12" xfId="0" applyNumberFormat="1" applyFont="1" applyBorder="1" applyAlignment="1">
      <alignment vertical="center" wrapText="1"/>
    </xf>
    <xf numFmtId="3" fontId="38" fillId="0" borderId="12" xfId="0" applyNumberFormat="1" applyFont="1" applyBorder="1" applyAlignment="1">
      <alignment horizontal="right" vertical="center"/>
    </xf>
    <xf numFmtId="3" fontId="38" fillId="0" borderId="12" xfId="0" applyNumberFormat="1" applyFont="1" applyBorder="1" applyAlignment="1">
      <alignment vertical="center"/>
    </xf>
    <xf numFmtId="3" fontId="38" fillId="0" borderId="12" xfId="0" applyNumberFormat="1" applyFont="1" applyFill="1" applyBorder="1" applyAlignment="1">
      <alignment horizontal="right" vertical="center"/>
    </xf>
    <xf numFmtId="3" fontId="41" fillId="0" borderId="12" xfId="0" applyNumberFormat="1" applyFont="1" applyFill="1" applyBorder="1" applyAlignment="1">
      <alignment horizontal="right" vertical="center"/>
    </xf>
    <xf numFmtId="3" fontId="41" fillId="0" borderId="12" xfId="0" applyNumberFormat="1" applyFont="1" applyFill="1" applyBorder="1" applyAlignment="1">
      <alignment horizontal="left" vertical="center"/>
    </xf>
    <xf numFmtId="3" fontId="38" fillId="0" borderId="12" xfId="0" applyNumberFormat="1" applyFont="1" applyFill="1" applyBorder="1" applyAlignment="1">
      <alignment horizontal="left" vertical="center"/>
    </xf>
    <xf numFmtId="3" fontId="38" fillId="0" borderId="12" xfId="0" applyNumberFormat="1" applyFont="1" applyFill="1" applyBorder="1" applyAlignment="1">
      <alignment vertical="center"/>
    </xf>
    <xf numFmtId="3" fontId="38" fillId="0" borderId="0" xfId="0" applyNumberFormat="1" applyFont="1" applyAlignment="1">
      <alignment horizontal="right"/>
    </xf>
    <xf numFmtId="3" fontId="36" fillId="12" borderId="48" xfId="0" applyNumberFormat="1" applyFont="1" applyFill="1" applyBorder="1" applyAlignment="1">
      <alignment vertical="center"/>
    </xf>
    <xf numFmtId="3" fontId="36" fillId="10" borderId="34" xfId="0" applyNumberFormat="1" applyFont="1" applyFill="1" applyBorder="1" applyAlignment="1">
      <alignment horizontal="center" vertical="center" wrapText="1"/>
    </xf>
    <xf numFmtId="3" fontId="42" fillId="0" borderId="34" xfId="0" applyNumberFormat="1" applyFont="1" applyBorder="1" applyAlignment="1">
      <alignment horizontal="left" vertical="center" wrapText="1"/>
    </xf>
    <xf numFmtId="3" fontId="42" fillId="0" borderId="34" xfId="0" applyNumberFormat="1" applyFont="1" applyBorder="1" applyAlignment="1">
      <alignment horizontal="center"/>
    </xf>
    <xf numFmtId="172" fontId="42" fillId="0" borderId="34" xfId="0" applyNumberFormat="1" applyFont="1" applyBorder="1" applyAlignment="1">
      <alignment horizontal="center"/>
    </xf>
    <xf numFmtId="3" fontId="38" fillId="0" borderId="34" xfId="0" applyNumberFormat="1" applyFont="1" applyBorder="1"/>
    <xf numFmtId="3" fontId="23" fillId="0" borderId="34" xfId="0" applyNumberFormat="1" applyFont="1" applyBorder="1" applyAlignment="1">
      <alignment horizontal="right"/>
    </xf>
    <xf numFmtId="3" fontId="38" fillId="0" borderId="34" xfId="0" applyNumberFormat="1" applyFont="1" applyBorder="1" applyAlignment="1">
      <alignment horizontal="left"/>
    </xf>
    <xf numFmtId="172" fontId="38" fillId="0" borderId="34" xfId="0" applyNumberFormat="1" applyFont="1" applyBorder="1" applyAlignment="1">
      <alignment horizontal="center"/>
    </xf>
    <xf numFmtId="3" fontId="38" fillId="0" borderId="34" xfId="0" applyNumberFormat="1" applyFont="1" applyBorder="1" applyAlignment="1">
      <alignment horizontal="center"/>
    </xf>
    <xf numFmtId="3" fontId="43" fillId="10" borderId="34" xfId="0" applyNumberFormat="1" applyFont="1" applyFill="1" applyBorder="1" applyAlignment="1">
      <alignment vertical="center"/>
    </xf>
    <xf numFmtId="3" fontId="43" fillId="10" borderId="34" xfId="0" applyNumberFormat="1" applyFont="1" applyFill="1" applyBorder="1" applyAlignment="1">
      <alignment horizontal="right" vertical="center"/>
    </xf>
    <xf numFmtId="3" fontId="43" fillId="10" borderId="34" xfId="0" applyNumberFormat="1" applyFont="1" applyFill="1" applyBorder="1" applyAlignment="1">
      <alignment horizontal="center" vertical="center"/>
    </xf>
    <xf numFmtId="3" fontId="33" fillId="10" borderId="34" xfId="0" applyNumberFormat="1" applyFont="1" applyFill="1" applyBorder="1" applyAlignment="1">
      <alignment horizontal="right" vertical="center"/>
    </xf>
    <xf numFmtId="3" fontId="38" fillId="0" borderId="12" xfId="0" applyNumberFormat="1" applyFont="1" applyBorder="1" applyAlignment="1">
      <alignment horizontal="center" vertical="center"/>
    </xf>
    <xf numFmtId="3" fontId="36" fillId="10" borderId="34" xfId="0" applyNumberFormat="1" applyFont="1" applyFill="1" applyBorder="1" applyAlignment="1">
      <alignment horizontal="center" vertical="center"/>
    </xf>
    <xf numFmtId="3" fontId="11" fillId="0" borderId="34" xfId="1" applyNumberFormat="1" applyFont="1" applyBorder="1" applyAlignment="1">
      <alignment horizontal="left"/>
    </xf>
    <xf numFmtId="3" fontId="11" fillId="0" borderId="34" xfId="1" applyNumberFormat="1" applyFont="1" applyBorder="1" applyAlignment="1">
      <alignment horizontal="center"/>
    </xf>
    <xf numFmtId="3" fontId="11" fillId="0" borderId="34" xfId="1" applyNumberFormat="1" applyFont="1" applyBorder="1" applyAlignment="1">
      <alignment horizontal="right"/>
    </xf>
    <xf numFmtId="3" fontId="23" fillId="0" borderId="34" xfId="1" applyNumberFormat="1" applyFont="1" applyBorder="1" applyAlignment="1">
      <alignment horizontal="right"/>
    </xf>
    <xf numFmtId="3" fontId="44" fillId="0" borderId="34" xfId="0" applyNumberFormat="1" applyFont="1" applyBorder="1"/>
    <xf numFmtId="3" fontId="42" fillId="9" borderId="34" xfId="0" applyNumberFormat="1" applyFont="1" applyFill="1" applyBorder="1" applyAlignment="1">
      <alignment horizontal="right"/>
    </xf>
    <xf numFmtId="3" fontId="42" fillId="0" borderId="34" xfId="0" applyNumberFormat="1" applyFont="1" applyBorder="1"/>
    <xf numFmtId="3" fontId="23" fillId="9" borderId="34" xfId="0" applyNumberFormat="1" applyFont="1" applyFill="1" applyBorder="1" applyAlignment="1">
      <alignment horizontal="right"/>
    </xf>
    <xf numFmtId="3" fontId="42" fillId="0" borderId="34" xfId="0" applyNumberFormat="1" applyFont="1" applyBorder="1" applyAlignment="1">
      <alignment wrapText="1"/>
    </xf>
    <xf numFmtId="3" fontId="42" fillId="0" borderId="34" xfId="0" applyNumberFormat="1" applyFont="1" applyBorder="1" applyAlignment="1">
      <alignment horizontal="right"/>
    </xf>
    <xf numFmtId="3" fontId="42" fillId="9" borderId="34" xfId="0" applyNumberFormat="1" applyFont="1" applyFill="1" applyBorder="1" applyAlignment="1">
      <alignment horizontal="right" indent="1"/>
    </xf>
    <xf numFmtId="3" fontId="45" fillId="0" borderId="34" xfId="0" applyNumberFormat="1" applyFont="1" applyBorder="1" applyAlignment="1">
      <alignment horizontal="right"/>
    </xf>
    <xf numFmtId="3" fontId="36" fillId="13" borderId="12" xfId="0" applyNumberFormat="1" applyFont="1" applyFill="1" applyBorder="1" applyAlignment="1">
      <alignment vertical="center"/>
    </xf>
    <xf numFmtId="3" fontId="43" fillId="13" borderId="12" xfId="0" applyNumberFormat="1" applyFont="1" applyFill="1" applyBorder="1" applyAlignment="1">
      <alignment horizontal="right" vertical="center"/>
    </xf>
    <xf numFmtId="3" fontId="43" fillId="13" borderId="12" xfId="0" applyNumberFormat="1" applyFont="1" applyFill="1" applyBorder="1" applyAlignment="1">
      <alignment horizontal="center" vertical="center"/>
    </xf>
    <xf numFmtId="3" fontId="43" fillId="13" borderId="12" xfId="0" applyNumberFormat="1" applyFont="1" applyFill="1" applyBorder="1" applyAlignment="1">
      <alignment vertical="center"/>
    </xf>
    <xf numFmtId="3" fontId="33" fillId="13" borderId="12" xfId="0" applyNumberFormat="1" applyFont="1" applyFill="1" applyBorder="1" applyAlignment="1">
      <alignment horizontal="right" vertical="center"/>
    </xf>
    <xf numFmtId="3" fontId="36" fillId="10" borderId="12" xfId="0" applyNumberFormat="1" applyFont="1" applyFill="1" applyBorder="1" applyAlignment="1">
      <alignment vertical="center"/>
    </xf>
    <xf numFmtId="3" fontId="43" fillId="10" borderId="12" xfId="0" applyNumberFormat="1" applyFont="1" applyFill="1" applyBorder="1" applyAlignment="1">
      <alignment horizontal="right" vertical="center"/>
    </xf>
    <xf numFmtId="3" fontId="43" fillId="10" borderId="12" xfId="0" applyNumberFormat="1" applyFont="1" applyFill="1" applyBorder="1" applyAlignment="1">
      <alignment horizontal="center" vertical="center"/>
    </xf>
    <xf numFmtId="3" fontId="43" fillId="10" borderId="12" xfId="0" applyNumberFormat="1" applyFont="1" applyFill="1" applyBorder="1" applyAlignment="1">
      <alignment vertical="center"/>
    </xf>
    <xf numFmtId="3" fontId="33" fillId="10" borderId="12" xfId="0" applyNumberFormat="1" applyFont="1" applyFill="1" applyBorder="1" applyAlignment="1">
      <alignment horizontal="right" vertical="center"/>
    </xf>
    <xf numFmtId="3" fontId="37" fillId="9" borderId="34" xfId="0" applyNumberFormat="1" applyFont="1" applyFill="1" applyBorder="1" applyAlignment="1">
      <alignment horizontal="center" wrapText="1"/>
    </xf>
    <xf numFmtId="3" fontId="38" fillId="9" borderId="34" xfId="0" applyNumberFormat="1" applyFont="1" applyFill="1" applyBorder="1" applyAlignment="1">
      <alignment horizontal="center"/>
    </xf>
    <xf numFmtId="0" fontId="0" fillId="0" borderId="12" xfId="0" applyFont="1" applyBorder="1" applyAlignment="1"/>
    <xf numFmtId="0" fontId="0" fillId="2" borderId="12" xfId="0" applyFont="1" applyFill="1" applyBorder="1" applyAlignment="1"/>
    <xf numFmtId="0" fontId="3" fillId="2" borderId="12" xfId="0" applyFont="1" applyFill="1" applyBorder="1" applyAlignment="1"/>
    <xf numFmtId="0" fontId="6" fillId="2" borderId="12" xfId="0" applyFont="1" applyFill="1" applyBorder="1" applyAlignment="1"/>
    <xf numFmtId="0" fontId="3" fillId="2" borderId="12" xfId="0" applyFont="1" applyFill="1" applyBorder="1" applyAlignment="1">
      <alignment wrapText="1"/>
    </xf>
    <xf numFmtId="14" fontId="3" fillId="2" borderId="12" xfId="0" applyNumberFormat="1" applyFont="1" applyFill="1" applyBorder="1" applyAlignment="1"/>
    <xf numFmtId="0" fontId="3" fillId="2" borderId="12" xfId="0" applyFont="1" applyFill="1" applyBorder="1" applyAlignment="1">
      <alignment horizontal="justify" wrapText="1"/>
    </xf>
    <xf numFmtId="0" fontId="3" fillId="2" borderId="12" xfId="0" applyFont="1" applyFill="1" applyBorder="1" applyAlignment="1">
      <alignment horizontal="left"/>
    </xf>
    <xf numFmtId="49" fontId="9" fillId="2" borderId="12" xfId="0" applyNumberFormat="1" applyFont="1" applyFill="1" applyBorder="1" applyAlignment="1">
      <alignment vertical="center"/>
    </xf>
    <xf numFmtId="0" fontId="11" fillId="7" borderId="12" xfId="0" applyFont="1" applyFill="1" applyBorder="1" applyAlignment="1"/>
    <xf numFmtId="49" fontId="3" fillId="2" borderId="34" xfId="0" applyNumberFormat="1" applyFont="1" applyFill="1" applyBorder="1" applyAlignment="1">
      <alignment horizontal="left"/>
    </xf>
    <xf numFmtId="49" fontId="5" fillId="2" borderId="34" xfId="0" applyNumberFormat="1" applyFont="1" applyFill="1" applyBorder="1" applyAlignment="1">
      <alignment vertical="center" wrapText="1"/>
    </xf>
    <xf numFmtId="49" fontId="5" fillId="2" borderId="34" xfId="0" applyNumberFormat="1" applyFont="1" applyFill="1" applyBorder="1" applyAlignment="1">
      <alignment horizontal="right"/>
    </xf>
    <xf numFmtId="49" fontId="5" fillId="2" borderId="34" xfId="0" applyNumberFormat="1" applyFont="1" applyFill="1" applyBorder="1" applyAlignment="1">
      <alignment horizontal="right" wrapText="1"/>
    </xf>
    <xf numFmtId="14" fontId="5" fillId="2" borderId="34" xfId="0" applyNumberFormat="1" applyFont="1" applyFill="1" applyBorder="1" applyAlignment="1">
      <alignment horizontal="right"/>
    </xf>
    <xf numFmtId="3" fontId="3" fillId="2" borderId="34" xfId="0" applyNumberFormat="1" applyFont="1" applyFill="1" applyBorder="1" applyAlignment="1"/>
    <xf numFmtId="171" fontId="5" fillId="2" borderId="34" xfId="0" applyNumberFormat="1" applyFont="1" applyFill="1" applyBorder="1" applyAlignment="1"/>
    <xf numFmtId="49" fontId="5" fillId="2" borderId="34" xfId="0" applyNumberFormat="1" applyFont="1" applyFill="1" applyBorder="1" applyAlignment="1"/>
    <xf numFmtId="0" fontId="5" fillId="2" borderId="34" xfId="0" applyFont="1" applyFill="1" applyBorder="1" applyAlignment="1"/>
    <xf numFmtId="3" fontId="5" fillId="2" borderId="34" xfId="0" applyNumberFormat="1" applyFont="1" applyFill="1" applyBorder="1" applyAlignment="1">
      <alignment horizontal="right" wrapText="1"/>
    </xf>
    <xf numFmtId="3" fontId="17" fillId="14" borderId="34" xfId="0" applyNumberFormat="1" applyFont="1" applyFill="1" applyBorder="1" applyAlignment="1">
      <alignment horizontal="center" vertical="center" wrapText="1"/>
    </xf>
    <xf numFmtId="3" fontId="17" fillId="14" borderId="34" xfId="0" applyNumberFormat="1" applyFont="1" applyFill="1" applyBorder="1" applyAlignment="1">
      <alignment horizontal="right" vertical="center" wrapText="1"/>
    </xf>
    <xf numFmtId="3" fontId="17" fillId="14" borderId="34" xfId="0" applyNumberFormat="1" applyFont="1" applyFill="1" applyBorder="1" applyAlignment="1">
      <alignment horizontal="center" vertical="center"/>
    </xf>
    <xf numFmtId="3" fontId="17" fillId="14" borderId="12" xfId="0" applyNumberFormat="1" applyFont="1" applyFill="1" applyBorder="1" applyAlignment="1">
      <alignment vertical="center"/>
    </xf>
    <xf numFmtId="3" fontId="17" fillId="14" borderId="12" xfId="0" applyNumberFormat="1" applyFont="1" applyFill="1" applyBorder="1" applyAlignment="1">
      <alignment horizontal="right" vertical="center"/>
    </xf>
    <xf numFmtId="4" fontId="17" fillId="14" borderId="12" xfId="0" applyNumberFormat="1" applyFont="1" applyFill="1" applyBorder="1" applyAlignment="1">
      <alignment horizontal="center" vertical="center"/>
    </xf>
    <xf numFmtId="3" fontId="17" fillId="14" borderId="12" xfId="0" applyNumberFormat="1" applyFont="1" applyFill="1" applyBorder="1" applyAlignment="1">
      <alignment horizontal="center" vertical="center"/>
    </xf>
    <xf numFmtId="3" fontId="15" fillId="9" borderId="34" xfId="0" applyNumberFormat="1" applyFont="1" applyFill="1" applyBorder="1" applyAlignment="1">
      <alignment horizontal="left" vertical="center"/>
    </xf>
    <xf numFmtId="3" fontId="15" fillId="9" borderId="34" xfId="0" applyNumberFormat="1" applyFont="1" applyFill="1" applyBorder="1" applyAlignment="1">
      <alignment horizontal="center" vertical="center"/>
    </xf>
    <xf numFmtId="4" fontId="15" fillId="9" borderId="34" xfId="0" applyNumberFormat="1" applyFont="1" applyFill="1" applyBorder="1" applyAlignment="1">
      <alignment horizontal="center" vertical="center"/>
    </xf>
    <xf numFmtId="3" fontId="15" fillId="9" borderId="34" xfId="0" applyNumberFormat="1" applyFont="1" applyFill="1" applyBorder="1" applyAlignment="1">
      <alignment vertical="center"/>
    </xf>
    <xf numFmtId="0" fontId="17" fillId="14" borderId="12" xfId="0" applyFont="1" applyFill="1" applyBorder="1" applyAlignment="1">
      <alignment vertical="center"/>
    </xf>
    <xf numFmtId="0" fontId="17" fillId="14" borderId="12" xfId="0" applyFont="1" applyFill="1" applyBorder="1" applyAlignment="1">
      <alignment horizontal="center" vertical="center"/>
    </xf>
    <xf numFmtId="3" fontId="17" fillId="14" borderId="34" xfId="0" applyNumberFormat="1" applyFont="1" applyFill="1" applyBorder="1" applyAlignment="1">
      <alignment horizontal="right" vertical="center"/>
    </xf>
    <xf numFmtId="49" fontId="2" fillId="14" borderId="34" xfId="0" applyNumberFormat="1" applyFont="1" applyFill="1" applyBorder="1" applyAlignment="1">
      <alignment vertical="center" wrapText="1"/>
    </xf>
    <xf numFmtId="3" fontId="17" fillId="14" borderId="12" xfId="0" applyNumberFormat="1" applyFont="1" applyFill="1" applyBorder="1" applyAlignment="1">
      <alignment horizontal="center" vertical="center" wrapText="1"/>
    </xf>
    <xf numFmtId="3" fontId="30" fillId="0" borderId="34" xfId="1" applyNumberFormat="1" applyFont="1" applyBorder="1" applyAlignment="1">
      <alignment horizontal="left"/>
    </xf>
    <xf numFmtId="3" fontId="17" fillId="14" borderId="12" xfId="0" applyNumberFormat="1" applyFont="1" applyFill="1" applyBorder="1" applyAlignment="1">
      <alignment horizontal="right" vertical="center" wrapText="1"/>
    </xf>
    <xf numFmtId="3" fontId="32" fillId="15" borderId="12" xfId="0" applyNumberFormat="1" applyFont="1" applyFill="1" applyBorder="1" applyAlignment="1">
      <alignment vertical="center"/>
    </xf>
    <xf numFmtId="3" fontId="32" fillId="15" borderId="12" xfId="0" applyNumberFormat="1" applyFont="1" applyFill="1" applyBorder="1" applyAlignment="1">
      <alignment horizontal="right" vertical="center"/>
    </xf>
    <xf numFmtId="3" fontId="32" fillId="15" borderId="12" xfId="0" applyNumberFormat="1" applyFont="1" applyFill="1" applyBorder="1" applyAlignment="1">
      <alignment horizontal="center" vertical="center"/>
    </xf>
    <xf numFmtId="3" fontId="32" fillId="14" borderId="12" xfId="0" applyNumberFormat="1" applyFont="1" applyFill="1" applyBorder="1" applyAlignment="1">
      <alignment vertical="center"/>
    </xf>
    <xf numFmtId="3" fontId="32" fillId="14" borderId="12" xfId="0" applyNumberFormat="1" applyFont="1" applyFill="1" applyBorder="1" applyAlignment="1">
      <alignment horizontal="right" vertical="center"/>
    </xf>
    <xf numFmtId="3" fontId="32" fillId="14" borderId="12" xfId="0" applyNumberFormat="1" applyFont="1" applyFill="1" applyBorder="1" applyAlignment="1">
      <alignment horizontal="center" vertical="center"/>
    </xf>
    <xf numFmtId="49" fontId="11" fillId="2" borderId="92" xfId="0" applyNumberFormat="1" applyFont="1" applyFill="1" applyBorder="1" applyAlignment="1">
      <alignment vertical="center"/>
    </xf>
    <xf numFmtId="0" fontId="11" fillId="2" borderId="93" xfId="0" applyFont="1" applyFill="1" applyBorder="1" applyAlignment="1"/>
    <xf numFmtId="165" fontId="2" fillId="2" borderId="94" xfId="0" applyNumberFormat="1" applyFont="1" applyFill="1" applyBorder="1" applyAlignment="1">
      <alignment vertical="center"/>
    </xf>
    <xf numFmtId="49" fontId="11" fillId="2" borderId="95" xfId="0" applyNumberFormat="1" applyFont="1" applyFill="1" applyBorder="1" applyAlignment="1">
      <alignment vertical="center"/>
    </xf>
    <xf numFmtId="165" fontId="2" fillId="2" borderId="96" xfId="0" applyNumberFormat="1" applyFont="1" applyFill="1" applyBorder="1" applyAlignment="1">
      <alignment vertical="center"/>
    </xf>
    <xf numFmtId="49" fontId="11" fillId="2" borderId="97" xfId="0" applyNumberFormat="1" applyFont="1" applyFill="1" applyBorder="1" applyAlignment="1">
      <alignment vertical="center"/>
    </xf>
    <xf numFmtId="0" fontId="11" fillId="2" borderId="98" xfId="0" applyFont="1" applyFill="1" applyBorder="1" applyAlignment="1"/>
    <xf numFmtId="165" fontId="2" fillId="2" borderId="99" xfId="0" applyNumberFormat="1" applyFont="1" applyFill="1" applyBorder="1" applyAlignment="1">
      <alignment vertical="center"/>
    </xf>
    <xf numFmtId="3" fontId="32" fillId="15" borderId="92" xfId="0" applyNumberFormat="1" applyFont="1" applyFill="1" applyBorder="1" applyAlignment="1">
      <alignment vertical="center"/>
    </xf>
    <xf numFmtId="3" fontId="32" fillId="15" borderId="93" xfId="0" applyNumberFormat="1" applyFont="1" applyFill="1" applyBorder="1" applyAlignment="1">
      <alignment horizontal="right" vertical="center"/>
    </xf>
    <xf numFmtId="3" fontId="32" fillId="15" borderId="93" xfId="0" applyNumberFormat="1" applyFont="1" applyFill="1" applyBorder="1" applyAlignment="1">
      <alignment horizontal="center" vertical="center"/>
    </xf>
    <xf numFmtId="3" fontId="32" fillId="15" borderId="93" xfId="0" applyNumberFormat="1" applyFont="1" applyFill="1" applyBorder="1" applyAlignment="1">
      <alignment vertical="center"/>
    </xf>
    <xf numFmtId="3" fontId="32" fillId="15" borderId="94" xfId="0" applyNumberFormat="1" applyFont="1" applyFill="1" applyBorder="1" applyAlignment="1">
      <alignment horizontal="right" vertical="center"/>
    </xf>
    <xf numFmtId="3" fontId="32" fillId="14" borderId="95" xfId="0" applyNumberFormat="1" applyFont="1" applyFill="1" applyBorder="1" applyAlignment="1">
      <alignment vertical="center"/>
    </xf>
    <xf numFmtId="3" fontId="32" fillId="14" borderId="96" xfId="0" applyNumberFormat="1" applyFont="1" applyFill="1" applyBorder="1" applyAlignment="1">
      <alignment horizontal="right" vertical="center"/>
    </xf>
    <xf numFmtId="3" fontId="32" fillId="15" borderId="95" xfId="0" applyNumberFormat="1" applyFont="1" applyFill="1" applyBorder="1" applyAlignment="1">
      <alignment vertical="center"/>
    </xf>
    <xf numFmtId="3" fontId="32" fillId="15" borderId="96" xfId="0" applyNumberFormat="1" applyFont="1" applyFill="1" applyBorder="1" applyAlignment="1">
      <alignment horizontal="right" vertical="center"/>
    </xf>
    <xf numFmtId="3" fontId="32" fillId="15" borderId="97" xfId="0" applyNumberFormat="1" applyFont="1" applyFill="1" applyBorder="1" applyAlignment="1">
      <alignment vertical="center"/>
    </xf>
    <xf numFmtId="3" fontId="32" fillId="15" borderId="98" xfId="0" applyNumberFormat="1" applyFont="1" applyFill="1" applyBorder="1" applyAlignment="1">
      <alignment horizontal="right" vertical="center"/>
    </xf>
    <xf numFmtId="3" fontId="32" fillId="15" borderId="98" xfId="0" applyNumberFormat="1" applyFont="1" applyFill="1" applyBorder="1" applyAlignment="1">
      <alignment horizontal="center" vertical="center"/>
    </xf>
    <xf numFmtId="3" fontId="32" fillId="15" borderId="98" xfId="0" applyNumberFormat="1" applyFont="1" applyFill="1" applyBorder="1" applyAlignment="1">
      <alignment vertical="center"/>
    </xf>
    <xf numFmtId="3" fontId="32" fillId="16" borderId="99" xfId="0" applyNumberFormat="1" applyFont="1" applyFill="1" applyBorder="1" applyAlignment="1">
      <alignment horizontal="right" vertical="center"/>
    </xf>
    <xf numFmtId="49" fontId="9" fillId="6" borderId="34" xfId="0" applyNumberFormat="1" applyFont="1" applyFill="1" applyBorder="1" applyAlignment="1">
      <alignment vertical="center"/>
    </xf>
    <xf numFmtId="49" fontId="11" fillId="6" borderId="34" xfId="0" applyNumberFormat="1" applyFont="1" applyFill="1" applyBorder="1" applyAlignment="1"/>
    <xf numFmtId="49" fontId="9" fillId="2" borderId="34" xfId="0" applyNumberFormat="1" applyFont="1" applyFill="1" applyBorder="1" applyAlignment="1">
      <alignment vertical="center"/>
    </xf>
    <xf numFmtId="3" fontId="9" fillId="2" borderId="34" xfId="0" applyNumberFormat="1" applyFont="1" applyFill="1" applyBorder="1" applyAlignment="1">
      <alignment vertical="center"/>
    </xf>
    <xf numFmtId="9" fontId="11" fillId="2" borderId="34" xfId="0" applyNumberFormat="1" applyFont="1" applyFill="1" applyBorder="1" applyAlignment="1"/>
    <xf numFmtId="166" fontId="9" fillId="2" borderId="34" xfId="0" applyNumberFormat="1" applyFont="1" applyFill="1" applyBorder="1" applyAlignment="1">
      <alignment vertical="center"/>
    </xf>
    <xf numFmtId="9" fontId="9" fillId="6" borderId="34" xfId="0" applyNumberFormat="1" applyFont="1" applyFill="1" applyBorder="1" applyAlignment="1">
      <alignment vertical="center"/>
    </xf>
    <xf numFmtId="0" fontId="9" fillId="6" borderId="34" xfId="0" applyNumberFormat="1" applyFont="1" applyFill="1" applyBorder="1" applyAlignment="1">
      <alignment vertical="center"/>
    </xf>
    <xf numFmtId="49" fontId="9" fillId="6" borderId="34" xfId="0" applyNumberFormat="1" applyFont="1" applyFill="1" applyBorder="1" applyAlignment="1">
      <alignment horizontal="left" vertical="center" wrapText="1"/>
    </xf>
    <xf numFmtId="49" fontId="14" fillId="7" borderId="21" xfId="0" applyNumberFormat="1" applyFont="1" applyFill="1" applyBorder="1" applyAlignment="1">
      <alignment vertical="center"/>
    </xf>
    <xf numFmtId="0" fontId="9" fillId="7" borderId="22" xfId="0" applyFont="1" applyFill="1" applyBorder="1" applyAlignment="1">
      <alignment vertical="center"/>
    </xf>
    <xf numFmtId="49" fontId="5" fillId="2" borderId="5" xfId="0" applyNumberFormat="1" applyFont="1" applyFill="1" applyBorder="1" applyAlignment="1">
      <alignment wrapText="1"/>
    </xf>
    <xf numFmtId="0" fontId="5" fillId="2" borderId="5" xfId="0" applyFont="1" applyFill="1" applyBorder="1" applyAlignment="1">
      <alignment wrapText="1"/>
    </xf>
    <xf numFmtId="49" fontId="4" fillId="3" borderId="5" xfId="0" applyNumberFormat="1" applyFont="1" applyFill="1" applyBorder="1" applyAlignment="1">
      <alignment wrapText="1"/>
    </xf>
    <xf numFmtId="0" fontId="4" fillId="4" borderId="5" xfId="0" applyFont="1" applyFill="1" applyBorder="1" applyAlignment="1">
      <alignment wrapText="1"/>
    </xf>
    <xf numFmtId="49" fontId="5" fillId="2" borderId="5" xfId="0" applyNumberFormat="1" applyFont="1" applyFill="1" applyBorder="1" applyAlignment="1"/>
    <xf numFmtId="0" fontId="5" fillId="2" borderId="5" xfId="0" applyFont="1" applyFill="1" applyBorder="1" applyAlignment="1"/>
    <xf numFmtId="49" fontId="7" fillId="3" borderId="5" xfId="0" applyNumberFormat="1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49" fontId="5" fillId="2" borderId="5" xfId="0" applyNumberFormat="1" applyFont="1" applyFill="1" applyBorder="1" applyAlignment="1">
      <alignment vertical="center" wrapText="1"/>
    </xf>
    <xf numFmtId="0" fontId="5" fillId="2" borderId="5" xfId="0" applyFont="1" applyFill="1" applyBorder="1" applyAlignment="1">
      <alignment vertical="center" wrapText="1"/>
    </xf>
    <xf numFmtId="49" fontId="2" fillId="14" borderId="12" xfId="0" applyNumberFormat="1" applyFont="1" applyFill="1" applyBorder="1" applyAlignment="1">
      <alignment horizontal="center" vertical="center"/>
    </xf>
    <xf numFmtId="0" fontId="2" fillId="14" borderId="12" xfId="0" applyFont="1" applyFill="1" applyBorder="1" applyAlignment="1">
      <alignment horizontal="center" vertical="center"/>
    </xf>
    <xf numFmtId="49" fontId="14" fillId="7" borderId="12" xfId="0" applyNumberFormat="1" applyFont="1" applyFill="1" applyBorder="1" applyAlignment="1">
      <alignment vertical="center"/>
    </xf>
    <xf numFmtId="0" fontId="9" fillId="7" borderId="12" xfId="0" applyFont="1" applyFill="1" applyBorder="1" applyAlignment="1">
      <alignment vertical="center"/>
    </xf>
    <xf numFmtId="49" fontId="4" fillId="14" borderId="34" xfId="0" applyNumberFormat="1" applyFont="1" applyFill="1" applyBorder="1" applyAlignment="1">
      <alignment wrapText="1"/>
    </xf>
    <xf numFmtId="0" fontId="4" fillId="14" borderId="34" xfId="0" applyFont="1" applyFill="1" applyBorder="1" applyAlignment="1">
      <alignment wrapText="1"/>
    </xf>
    <xf numFmtId="49" fontId="5" fillId="2" borderId="34" xfId="0" applyNumberFormat="1" applyFont="1" applyFill="1" applyBorder="1" applyAlignment="1">
      <alignment wrapText="1"/>
    </xf>
    <xf numFmtId="0" fontId="5" fillId="2" borderId="34" xfId="0" applyFont="1" applyFill="1" applyBorder="1" applyAlignment="1">
      <alignment wrapText="1"/>
    </xf>
    <xf numFmtId="49" fontId="5" fillId="2" borderId="34" xfId="0" applyNumberFormat="1" applyFont="1" applyFill="1" applyBorder="1" applyAlignment="1"/>
    <xf numFmtId="0" fontId="5" fillId="2" borderId="34" xfId="0" applyFont="1" applyFill="1" applyBorder="1" applyAlignment="1"/>
    <xf numFmtId="0" fontId="17" fillId="10" borderId="80" xfId="0" applyFont="1" applyFill="1" applyBorder="1" applyAlignment="1">
      <alignment horizontal="left" vertical="center"/>
    </xf>
    <xf numFmtId="0" fontId="17" fillId="10" borderId="81" xfId="0" applyFont="1" applyFill="1" applyBorder="1" applyAlignment="1">
      <alignment horizontal="left" vertical="center"/>
    </xf>
    <xf numFmtId="0" fontId="17" fillId="10" borderId="82" xfId="0" applyFont="1" applyFill="1" applyBorder="1" applyAlignment="1">
      <alignment horizontal="left" vertical="center"/>
    </xf>
    <xf numFmtId="3" fontId="40" fillId="12" borderId="77" xfId="0" applyNumberFormat="1" applyFont="1" applyFill="1" applyBorder="1" applyAlignment="1">
      <alignment horizontal="center" vertical="center"/>
    </xf>
    <xf numFmtId="3" fontId="40" fillId="12" borderId="78" xfId="0" applyNumberFormat="1" applyFont="1" applyFill="1" applyBorder="1" applyAlignment="1">
      <alignment horizontal="center" vertical="center"/>
    </xf>
    <xf numFmtId="3" fontId="40" fillId="12" borderId="79" xfId="0" applyNumberFormat="1" applyFont="1" applyFill="1" applyBorder="1" applyAlignment="1">
      <alignment horizontal="center" vertical="center"/>
    </xf>
    <xf numFmtId="3" fontId="38" fillId="0" borderId="34" xfId="0" applyNumberFormat="1" applyFont="1" applyBorder="1" applyAlignment="1">
      <alignment vertical="center" wrapText="1"/>
    </xf>
    <xf numFmtId="3" fontId="36" fillId="12" borderId="34" xfId="0" applyNumberFormat="1" applyFont="1" applyFill="1" applyBorder="1" applyAlignment="1">
      <alignment vertical="center" wrapText="1"/>
    </xf>
    <xf numFmtId="0" fontId="39" fillId="12" borderId="34" xfId="0" applyFont="1" applyFill="1" applyBorder="1" applyAlignment="1">
      <alignment vertical="center" wrapText="1"/>
    </xf>
    <xf numFmtId="3" fontId="38" fillId="0" borderId="34" xfId="0" applyNumberFormat="1" applyFont="1" applyBorder="1" applyAlignment="1">
      <alignment vertical="center"/>
    </xf>
  </cellXfs>
  <cellStyles count="13">
    <cellStyle name="Millares" xfId="11" builtinId="3"/>
    <cellStyle name="Millares 2" xfId="4"/>
    <cellStyle name="Millares 3" xfId="3"/>
    <cellStyle name="Millares 4" xfId="10"/>
    <cellStyle name="Millares 6" xfId="5"/>
    <cellStyle name="Moneda 2" xfId="6"/>
    <cellStyle name="Normal" xfId="0" builtinId="0"/>
    <cellStyle name="Normal 2" xfId="1"/>
    <cellStyle name="Normal 3" xfId="2"/>
    <cellStyle name="Normal 4" xfId="7"/>
    <cellStyle name="Normal 4 2" xfId="8"/>
    <cellStyle name="Normal 6" xfId="12"/>
    <cellStyle name="Porcentaje 2" xfId="9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7F7F7F"/>
      <rgbColor rgb="FF4CB3B0"/>
      <rgbColor rgb="FF777670"/>
      <rgbColor rgb="FFFF891C"/>
      <rgbColor rgb="FFFEFEFE"/>
      <rgbColor rgb="FF388194"/>
      <rgbColor rgb="FFAFCF2D"/>
      <rgbColor rgb="FF92D050"/>
      <rgbColor rgb="FFD8D8D8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161925</xdr:colOff>
      <xdr:row>6</xdr:row>
      <xdr:rowOff>32084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90500"/>
          <a:ext cx="5581650" cy="117508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600075</xdr:colOff>
      <xdr:row>6</xdr:row>
      <xdr:rowOff>32084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067300" cy="117508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142875</xdr:colOff>
      <xdr:row>6</xdr:row>
      <xdr:rowOff>32084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610100" cy="11750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1076325</xdr:colOff>
      <xdr:row>6</xdr:row>
      <xdr:rowOff>32084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581650" cy="11750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828675</xdr:colOff>
      <xdr:row>6</xdr:row>
      <xdr:rowOff>32084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14950" cy="11750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600075</xdr:colOff>
      <xdr:row>6</xdr:row>
      <xdr:rowOff>32084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067300" cy="11750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200024</xdr:colOff>
      <xdr:row>0</xdr:row>
      <xdr:rowOff>0</xdr:rowOff>
    </xdr:from>
    <xdr:to>
      <xdr:col>6</xdr:col>
      <xdr:colOff>733424</xdr:colOff>
      <xdr:row>6</xdr:row>
      <xdr:rowOff>32084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4" y="0"/>
          <a:ext cx="6086475" cy="11750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647700</xdr:colOff>
      <xdr:row>6</xdr:row>
      <xdr:rowOff>32084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14950" cy="11750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828675</xdr:colOff>
      <xdr:row>6</xdr:row>
      <xdr:rowOff>32084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14950" cy="117508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600075</xdr:colOff>
      <xdr:row>6</xdr:row>
      <xdr:rowOff>32084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067300" cy="117508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371475</xdr:colOff>
      <xdr:row>6</xdr:row>
      <xdr:rowOff>32084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838700" cy="11750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Tema de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Tema de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e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T92"/>
  <sheetViews>
    <sheetView showGridLines="0" workbookViewId="0">
      <selection activeCell="I35" sqref="I35"/>
    </sheetView>
  </sheetViews>
  <sheetFormatPr baseColWidth="10" defaultColWidth="10.85546875" defaultRowHeight="11.25" customHeight="1"/>
  <cols>
    <col min="1" max="1" width="34.7109375" style="1" customWidth="1"/>
    <col min="2" max="2" width="19.42578125" style="1" customWidth="1"/>
    <col min="3" max="3" width="9.42578125" style="1" customWidth="1"/>
    <col min="4" max="4" width="17.7109375" style="1" customWidth="1"/>
    <col min="5" max="5" width="11" style="1" customWidth="1"/>
    <col min="6" max="6" width="12.42578125" style="1" customWidth="1"/>
    <col min="7" max="254" width="10.85546875" style="1" customWidth="1"/>
  </cols>
  <sheetData>
    <row r="1" spans="1:6" ht="15" customHeight="1">
      <c r="A1" s="2"/>
      <c r="B1" s="2"/>
      <c r="C1" s="2"/>
      <c r="D1" s="2"/>
      <c r="E1" s="2"/>
      <c r="F1" s="2"/>
    </row>
    <row r="2" spans="1:6" ht="15" customHeight="1">
      <c r="A2" s="2"/>
      <c r="B2" s="2"/>
      <c r="C2" s="2"/>
      <c r="D2" s="2"/>
      <c r="E2" s="2"/>
      <c r="F2" s="2"/>
    </row>
    <row r="3" spans="1:6" ht="15" customHeight="1">
      <c r="A3" s="2"/>
      <c r="B3" s="2"/>
      <c r="C3" s="2"/>
      <c r="D3" s="2"/>
      <c r="E3" s="2"/>
      <c r="F3" s="2"/>
    </row>
    <row r="4" spans="1:6" ht="15" customHeight="1">
      <c r="A4" s="2"/>
      <c r="B4" s="2"/>
      <c r="C4" s="2"/>
      <c r="D4" s="2"/>
      <c r="E4" s="2"/>
      <c r="F4" s="2"/>
    </row>
    <row r="5" spans="1:6" ht="15" customHeight="1">
      <c r="A5" s="2"/>
      <c r="B5" s="2"/>
      <c r="C5" s="2"/>
      <c r="D5" s="2"/>
      <c r="E5" s="2"/>
      <c r="F5" s="2"/>
    </row>
    <row r="6" spans="1:6" ht="15" customHeight="1">
      <c r="A6" s="2"/>
      <c r="B6" s="2"/>
      <c r="C6" s="2"/>
      <c r="D6" s="2"/>
      <c r="E6" s="2"/>
      <c r="F6" s="2"/>
    </row>
    <row r="7" spans="1:6" ht="15" customHeight="1">
      <c r="A7" s="3"/>
      <c r="B7" s="4"/>
      <c r="C7" s="2"/>
      <c r="D7" s="4"/>
      <c r="E7" s="4"/>
      <c r="F7" s="4"/>
    </row>
    <row r="8" spans="1:6" ht="12" customHeight="1">
      <c r="A8" s="5" t="s">
        <v>0</v>
      </c>
      <c r="B8" s="300" t="s">
        <v>208</v>
      </c>
      <c r="C8" s="6"/>
      <c r="D8" s="565" t="s">
        <v>67</v>
      </c>
      <c r="E8" s="566"/>
      <c r="F8" s="7">
        <v>25</v>
      </c>
    </row>
    <row r="9" spans="1:6" ht="38.25" customHeight="1">
      <c r="A9" s="8" t="s">
        <v>1</v>
      </c>
      <c r="B9" s="9" t="s">
        <v>64</v>
      </c>
      <c r="C9" s="10"/>
      <c r="D9" s="563" t="s">
        <v>2</v>
      </c>
      <c r="E9" s="564"/>
      <c r="F9" s="11" t="s">
        <v>68</v>
      </c>
    </row>
    <row r="10" spans="1:6" ht="18" customHeight="1">
      <c r="A10" s="8" t="s">
        <v>3</v>
      </c>
      <c r="B10" s="11" t="s">
        <v>4</v>
      </c>
      <c r="C10" s="10"/>
      <c r="D10" s="563" t="s">
        <v>105</v>
      </c>
      <c r="E10" s="564"/>
      <c r="F10" s="12">
        <v>240000</v>
      </c>
    </row>
    <row r="11" spans="1:6" ht="11.25" customHeight="1">
      <c r="A11" s="8" t="s">
        <v>5</v>
      </c>
      <c r="B11" s="13" t="s">
        <v>65</v>
      </c>
      <c r="C11" s="10"/>
      <c r="D11" s="14" t="s">
        <v>6</v>
      </c>
      <c r="E11" s="15"/>
      <c r="F11" s="16">
        <f>(F8*F10)</f>
        <v>6000000</v>
      </c>
    </row>
    <row r="12" spans="1:6" ht="11.25" customHeight="1">
      <c r="A12" s="8" t="s">
        <v>7</v>
      </c>
      <c r="B12" s="11" t="s">
        <v>66</v>
      </c>
      <c r="C12" s="10"/>
      <c r="D12" s="563" t="s">
        <v>8</v>
      </c>
      <c r="E12" s="564"/>
      <c r="F12" s="11" t="s">
        <v>69</v>
      </c>
    </row>
    <row r="13" spans="1:6" ht="13.5" customHeight="1">
      <c r="A13" s="8" t="s">
        <v>9</v>
      </c>
      <c r="B13" s="11" t="s">
        <v>66</v>
      </c>
      <c r="C13" s="10"/>
      <c r="D13" s="563" t="s">
        <v>10</v>
      </c>
      <c r="E13" s="564"/>
      <c r="F13" s="11" t="s">
        <v>150</v>
      </c>
    </row>
    <row r="14" spans="1:6" ht="25.5" customHeight="1">
      <c r="A14" s="8" t="s">
        <v>11</v>
      </c>
      <c r="B14" s="17">
        <v>44197</v>
      </c>
      <c r="C14" s="10"/>
      <c r="D14" s="567" t="s">
        <v>12</v>
      </c>
      <c r="E14" s="568"/>
      <c r="F14" s="13" t="s">
        <v>13</v>
      </c>
    </row>
    <row r="15" spans="1:6" ht="12" customHeight="1">
      <c r="A15" s="18"/>
      <c r="B15" s="19"/>
      <c r="C15" s="20"/>
      <c r="D15" s="21"/>
      <c r="E15" s="21"/>
      <c r="F15" s="22"/>
    </row>
    <row r="16" spans="1:6" ht="12" customHeight="1">
      <c r="A16" s="569" t="s">
        <v>14</v>
      </c>
      <c r="B16" s="570"/>
      <c r="C16" s="570"/>
      <c r="D16" s="570"/>
      <c r="E16" s="570"/>
      <c r="F16" s="570"/>
    </row>
    <row r="17" spans="1:6" ht="12" customHeight="1">
      <c r="A17" s="23"/>
      <c r="B17" s="24"/>
      <c r="C17" s="24"/>
      <c r="D17" s="24"/>
      <c r="E17" s="25"/>
      <c r="F17" s="25"/>
    </row>
    <row r="18" spans="1:6" ht="12" customHeight="1">
      <c r="A18" s="65" t="s">
        <v>15</v>
      </c>
      <c r="B18" s="66"/>
      <c r="C18" s="66"/>
      <c r="D18" s="66"/>
      <c r="E18" s="66"/>
      <c r="F18" s="66"/>
    </row>
    <row r="19" spans="1:6" ht="24" customHeight="1">
      <c r="A19" s="67" t="s">
        <v>16</v>
      </c>
      <c r="B19" s="67" t="s">
        <v>17</v>
      </c>
      <c r="C19" s="67" t="s">
        <v>18</v>
      </c>
      <c r="D19" s="67" t="s">
        <v>19</v>
      </c>
      <c r="E19" s="67" t="s">
        <v>20</v>
      </c>
      <c r="F19" s="67" t="s">
        <v>21</v>
      </c>
    </row>
    <row r="20" spans="1:6" ht="12.75" customHeight="1">
      <c r="A20" s="68" t="s">
        <v>70</v>
      </c>
      <c r="B20" s="69" t="s">
        <v>22</v>
      </c>
      <c r="C20" s="69">
        <v>3</v>
      </c>
      <c r="D20" s="69" t="s">
        <v>28</v>
      </c>
      <c r="E20" s="70">
        <v>15000</v>
      </c>
      <c r="F20" s="70">
        <f>C20*E20</f>
        <v>45000</v>
      </c>
    </row>
    <row r="21" spans="1:6" ht="25.5" customHeight="1">
      <c r="A21" s="71" t="s">
        <v>71</v>
      </c>
      <c r="B21" s="72" t="s">
        <v>22</v>
      </c>
      <c r="C21" s="73">
        <v>1</v>
      </c>
      <c r="D21" s="73" t="s">
        <v>72</v>
      </c>
      <c r="E21" s="70">
        <v>15000</v>
      </c>
      <c r="F21" s="74">
        <f>E21*C21</f>
        <v>15000</v>
      </c>
    </row>
    <row r="22" spans="1:6" ht="12.75" customHeight="1">
      <c r="A22" s="71" t="s">
        <v>73</v>
      </c>
      <c r="B22" s="72" t="s">
        <v>22</v>
      </c>
      <c r="C22" s="73">
        <v>8</v>
      </c>
      <c r="D22" s="73" t="s">
        <v>72</v>
      </c>
      <c r="E22" s="70">
        <v>15000</v>
      </c>
      <c r="F22" s="74">
        <f>E22*C22</f>
        <v>120000</v>
      </c>
    </row>
    <row r="23" spans="1:6" ht="12.75" customHeight="1">
      <c r="A23" s="75" t="s">
        <v>74</v>
      </c>
      <c r="B23" s="72" t="s">
        <v>22</v>
      </c>
      <c r="C23" s="73">
        <v>2</v>
      </c>
      <c r="D23" s="73" t="s">
        <v>29</v>
      </c>
      <c r="E23" s="70">
        <v>15000</v>
      </c>
      <c r="F23" s="74">
        <f>E23*C23</f>
        <v>30000</v>
      </c>
    </row>
    <row r="24" spans="1:6" ht="12" customHeight="1">
      <c r="A24" s="75" t="s">
        <v>75</v>
      </c>
      <c r="B24" s="72" t="s">
        <v>22</v>
      </c>
      <c r="C24" s="73">
        <v>2</v>
      </c>
      <c r="D24" s="73" t="s">
        <v>29</v>
      </c>
      <c r="E24" s="70">
        <v>15000</v>
      </c>
      <c r="F24" s="74">
        <f>E24*C24</f>
        <v>30000</v>
      </c>
    </row>
    <row r="25" spans="1:6" ht="12" customHeight="1">
      <c r="A25" s="75" t="s">
        <v>76</v>
      </c>
      <c r="B25" s="72" t="s">
        <v>77</v>
      </c>
      <c r="C25" s="73">
        <v>1000</v>
      </c>
      <c r="D25" s="73" t="s">
        <v>78</v>
      </c>
      <c r="E25" s="70">
        <v>800</v>
      </c>
      <c r="F25" s="74">
        <f>E25*C25</f>
        <v>800000</v>
      </c>
    </row>
    <row r="26" spans="1:6" ht="24" customHeight="1">
      <c r="A26" s="65" t="s">
        <v>23</v>
      </c>
      <c r="B26" s="76"/>
      <c r="C26" s="76"/>
      <c r="D26" s="76"/>
      <c r="E26" s="65"/>
      <c r="F26" s="77">
        <f>SUM(F20:F25)</f>
        <v>1040000</v>
      </c>
    </row>
    <row r="27" spans="1:6" ht="12" customHeight="1">
      <c r="A27" s="66"/>
      <c r="B27" s="78"/>
      <c r="C27" s="78"/>
      <c r="D27" s="78"/>
      <c r="E27" s="66"/>
      <c r="F27" s="66"/>
    </row>
    <row r="28" spans="1:6" ht="12" customHeight="1">
      <c r="A28" s="65" t="s">
        <v>24</v>
      </c>
      <c r="B28" s="78"/>
      <c r="C28" s="78"/>
      <c r="D28" s="78"/>
      <c r="E28" s="66"/>
      <c r="F28" s="66"/>
    </row>
    <row r="29" spans="1:6" ht="12" customHeight="1">
      <c r="A29" s="76" t="s">
        <v>16</v>
      </c>
      <c r="B29" s="67" t="s">
        <v>17</v>
      </c>
      <c r="C29" s="67" t="s">
        <v>18</v>
      </c>
      <c r="D29" s="76" t="s">
        <v>19</v>
      </c>
      <c r="E29" s="67" t="s">
        <v>20</v>
      </c>
      <c r="F29" s="76" t="s">
        <v>21</v>
      </c>
    </row>
    <row r="30" spans="1:6" ht="12" customHeight="1">
      <c r="A30" s="68" t="s">
        <v>79</v>
      </c>
      <c r="B30" s="69" t="s">
        <v>63</v>
      </c>
      <c r="C30" s="69">
        <v>3</v>
      </c>
      <c r="D30" s="69" t="s">
        <v>28</v>
      </c>
      <c r="E30" s="70">
        <v>20000</v>
      </c>
      <c r="F30" s="70">
        <f>C30*E30</f>
        <v>60000</v>
      </c>
    </row>
    <row r="31" spans="1:6" ht="24" customHeight="1">
      <c r="A31" s="68" t="s">
        <v>80</v>
      </c>
      <c r="B31" s="69" t="s">
        <v>63</v>
      </c>
      <c r="C31" s="69">
        <v>1</v>
      </c>
      <c r="D31" s="69" t="s">
        <v>72</v>
      </c>
      <c r="E31" s="70">
        <v>20000</v>
      </c>
      <c r="F31" s="70">
        <f>C31*E31</f>
        <v>20000</v>
      </c>
    </row>
    <row r="32" spans="1:6" ht="12.75" customHeight="1">
      <c r="A32" s="68" t="s">
        <v>81</v>
      </c>
      <c r="B32" s="69" t="s">
        <v>63</v>
      </c>
      <c r="C32" s="69">
        <v>1</v>
      </c>
      <c r="D32" s="69" t="s">
        <v>72</v>
      </c>
      <c r="E32" s="70">
        <v>20000</v>
      </c>
      <c r="F32" s="70">
        <f>C32*E32</f>
        <v>20000</v>
      </c>
    </row>
    <row r="33" spans="1:6" ht="12.75" customHeight="1">
      <c r="A33" s="79" t="s">
        <v>74</v>
      </c>
      <c r="B33" s="80" t="s">
        <v>63</v>
      </c>
      <c r="C33" s="80">
        <v>2</v>
      </c>
      <c r="D33" s="80" t="s">
        <v>29</v>
      </c>
      <c r="E33" s="70">
        <v>20000</v>
      </c>
      <c r="F33" s="81">
        <f>C33*E33</f>
        <v>40000</v>
      </c>
    </row>
    <row r="34" spans="1:6" ht="12.75" customHeight="1">
      <c r="A34" s="82" t="s">
        <v>82</v>
      </c>
      <c r="B34" s="80" t="s">
        <v>63</v>
      </c>
      <c r="C34" s="83">
        <v>5</v>
      </c>
      <c r="D34" s="83" t="s">
        <v>83</v>
      </c>
      <c r="E34" s="70">
        <v>20000</v>
      </c>
      <c r="F34" s="81">
        <f>C34*E34</f>
        <v>100000</v>
      </c>
    </row>
    <row r="35" spans="1:6" ht="12.75" customHeight="1">
      <c r="A35" s="65" t="s">
        <v>25</v>
      </c>
      <c r="B35" s="76"/>
      <c r="C35" s="76"/>
      <c r="D35" s="76"/>
      <c r="E35" s="77"/>
      <c r="F35" s="77">
        <f>SUM(F30:F34)</f>
        <v>240000</v>
      </c>
    </row>
    <row r="36" spans="1:6" ht="12.75" customHeight="1">
      <c r="A36" s="66"/>
      <c r="B36" s="78"/>
      <c r="C36" s="78"/>
      <c r="D36" s="78"/>
      <c r="E36" s="66"/>
      <c r="F36" s="66"/>
    </row>
    <row r="37" spans="1:6" ht="12.75" customHeight="1">
      <c r="A37" s="65" t="s">
        <v>26</v>
      </c>
      <c r="B37" s="78"/>
      <c r="C37" s="78"/>
      <c r="D37" s="78"/>
      <c r="E37" s="66"/>
      <c r="F37" s="66"/>
    </row>
    <row r="38" spans="1:6" ht="25.5" customHeight="1">
      <c r="A38" s="76" t="s">
        <v>16</v>
      </c>
      <c r="B38" s="76" t="s">
        <v>17</v>
      </c>
      <c r="C38" s="76" t="s">
        <v>18</v>
      </c>
      <c r="D38" s="76" t="s">
        <v>19</v>
      </c>
      <c r="E38" s="67" t="s">
        <v>20</v>
      </c>
      <c r="F38" s="76" t="s">
        <v>21</v>
      </c>
    </row>
    <row r="39" spans="1:6" ht="25.5" customHeight="1">
      <c r="A39" s="68" t="s">
        <v>27</v>
      </c>
      <c r="B39" s="69" t="s">
        <v>84</v>
      </c>
      <c r="C39" s="69">
        <v>4</v>
      </c>
      <c r="D39" s="69" t="s">
        <v>85</v>
      </c>
      <c r="E39" s="70">
        <v>22000</v>
      </c>
      <c r="F39" s="70">
        <f>(C39*E39)*1.19</f>
        <v>104720</v>
      </c>
    </row>
    <row r="40" spans="1:6" ht="25.5" customHeight="1">
      <c r="A40" s="79" t="s">
        <v>86</v>
      </c>
      <c r="B40" s="80" t="s">
        <v>84</v>
      </c>
      <c r="C40" s="80">
        <v>3</v>
      </c>
      <c r="D40" s="80" t="s">
        <v>87</v>
      </c>
      <c r="E40" s="81">
        <v>22000</v>
      </c>
      <c r="F40" s="70">
        <f>(C40*E40)*1.19</f>
        <v>78540</v>
      </c>
    </row>
    <row r="41" spans="1:6" ht="12.75" customHeight="1">
      <c r="A41" s="65" t="s">
        <v>88</v>
      </c>
      <c r="B41" s="76"/>
      <c r="C41" s="76"/>
      <c r="D41" s="76"/>
      <c r="E41" s="77"/>
      <c r="F41" s="77">
        <f>F39+F40</f>
        <v>183260</v>
      </c>
    </row>
    <row r="42" spans="1:6" ht="12.75" customHeight="1">
      <c r="A42" s="66"/>
      <c r="B42" s="78"/>
      <c r="C42" s="78"/>
      <c r="D42" s="78"/>
      <c r="E42" s="66"/>
      <c r="F42" s="66"/>
    </row>
    <row r="43" spans="1:6" ht="12.75" customHeight="1">
      <c r="A43" s="65" t="s">
        <v>30</v>
      </c>
      <c r="B43" s="78"/>
      <c r="C43" s="78"/>
      <c r="D43" s="78"/>
      <c r="E43" s="66"/>
      <c r="F43" s="66"/>
    </row>
    <row r="44" spans="1:6" ht="25.5" customHeight="1">
      <c r="A44" s="67" t="s">
        <v>31</v>
      </c>
      <c r="B44" s="67" t="s">
        <v>32</v>
      </c>
      <c r="C44" s="67" t="s">
        <v>33</v>
      </c>
      <c r="D44" s="67" t="s">
        <v>19</v>
      </c>
      <c r="E44" s="67" t="s">
        <v>20</v>
      </c>
      <c r="F44" s="67" t="s">
        <v>21</v>
      </c>
    </row>
    <row r="45" spans="1:6" ht="12.75" customHeight="1">
      <c r="A45" s="84" t="s">
        <v>89</v>
      </c>
      <c r="B45" s="85"/>
      <c r="C45" s="85"/>
      <c r="D45" s="85"/>
      <c r="E45" s="83"/>
      <c r="F45" s="85"/>
    </row>
    <row r="46" spans="1:6" ht="12.75" customHeight="1">
      <c r="A46" s="84" t="s">
        <v>90</v>
      </c>
      <c r="B46" s="83" t="s">
        <v>91</v>
      </c>
      <c r="C46" s="83">
        <v>2</v>
      </c>
      <c r="D46" s="83" t="s">
        <v>72</v>
      </c>
      <c r="E46" s="83">
        <v>12000</v>
      </c>
      <c r="F46" s="86">
        <f>(C46*E46)*1.19</f>
        <v>28560</v>
      </c>
    </row>
    <row r="47" spans="1:6" ht="12" customHeight="1">
      <c r="A47" s="82" t="s">
        <v>92</v>
      </c>
      <c r="B47" s="83" t="s">
        <v>93</v>
      </c>
      <c r="C47" s="83">
        <v>1</v>
      </c>
      <c r="D47" s="80" t="s">
        <v>94</v>
      </c>
      <c r="E47" s="87">
        <v>12900</v>
      </c>
      <c r="F47" s="88">
        <f>(E47*C47)*1.19</f>
        <v>15351</v>
      </c>
    </row>
    <row r="48" spans="1:6" ht="12" customHeight="1">
      <c r="A48" s="84" t="s">
        <v>95</v>
      </c>
      <c r="B48" s="89"/>
      <c r="C48" s="89"/>
      <c r="D48" s="80"/>
      <c r="E48" s="90"/>
      <c r="F48" s="88"/>
    </row>
    <row r="49" spans="1:10" ht="24" customHeight="1">
      <c r="A49" s="82" t="s">
        <v>96</v>
      </c>
      <c r="B49" s="83" t="s">
        <v>93</v>
      </c>
      <c r="C49" s="83">
        <v>4</v>
      </c>
      <c r="D49" s="80" t="s">
        <v>97</v>
      </c>
      <c r="E49" s="87">
        <v>15000</v>
      </c>
      <c r="F49" s="88">
        <f>(E49*C49)*1.19</f>
        <v>71400</v>
      </c>
      <c r="J49" s="62"/>
    </row>
    <row r="50" spans="1:10" ht="12.75" customHeight="1">
      <c r="A50" s="82" t="s">
        <v>98</v>
      </c>
      <c r="B50" s="83" t="s">
        <v>35</v>
      </c>
      <c r="C50" s="83">
        <v>2200</v>
      </c>
      <c r="D50" s="80" t="s">
        <v>72</v>
      </c>
      <c r="E50" s="72">
        <v>250</v>
      </c>
      <c r="F50" s="88">
        <f>(E50*C50)*1.19</f>
        <v>654500</v>
      </c>
      <c r="J50" s="62"/>
    </row>
    <row r="51" spans="1:10" ht="12.75" customHeight="1">
      <c r="A51" s="82" t="s">
        <v>34</v>
      </c>
      <c r="B51" s="83"/>
      <c r="C51" s="83"/>
      <c r="D51" s="80"/>
      <c r="E51" s="72"/>
      <c r="F51" s="88"/>
    </row>
    <row r="52" spans="1:10" ht="12.75" customHeight="1">
      <c r="A52" s="82" t="s">
        <v>99</v>
      </c>
      <c r="B52" s="83" t="s">
        <v>35</v>
      </c>
      <c r="C52" s="83">
        <v>1100</v>
      </c>
      <c r="D52" s="80" t="s">
        <v>100</v>
      </c>
      <c r="E52" s="72">
        <v>400</v>
      </c>
      <c r="F52" s="88">
        <f>(E52*C52)*1.19</f>
        <v>523600</v>
      </c>
    </row>
    <row r="53" spans="1:10" ht="12.75" customHeight="1">
      <c r="A53" s="82" t="s">
        <v>37</v>
      </c>
      <c r="B53" s="83"/>
      <c r="C53" s="83"/>
      <c r="D53" s="83"/>
      <c r="E53" s="72"/>
      <c r="F53" s="88"/>
    </row>
    <row r="54" spans="1:10" ht="12.75" customHeight="1">
      <c r="A54" s="82" t="s">
        <v>101</v>
      </c>
      <c r="B54" s="83" t="s">
        <v>102</v>
      </c>
      <c r="C54" s="83">
        <v>1000</v>
      </c>
      <c r="D54" s="83" t="s">
        <v>103</v>
      </c>
      <c r="E54" s="72">
        <v>180</v>
      </c>
      <c r="F54" s="88">
        <f>(E54*C54)*1.19</f>
        <v>214200</v>
      </c>
    </row>
    <row r="55" spans="1:10" ht="12.75" customHeight="1">
      <c r="A55" s="65" t="s">
        <v>36</v>
      </c>
      <c r="B55" s="76"/>
      <c r="C55" s="76"/>
      <c r="D55" s="76"/>
      <c r="E55" s="65"/>
      <c r="F55" s="77">
        <f>SUM(F46:F54)</f>
        <v>1507611</v>
      </c>
    </row>
    <row r="56" spans="1:10" ht="12.75" customHeight="1">
      <c r="A56" s="91"/>
      <c r="B56" s="78"/>
      <c r="C56" s="78"/>
      <c r="D56" s="78"/>
      <c r="E56" s="66"/>
      <c r="F56" s="91"/>
    </row>
    <row r="57" spans="1:10" ht="12.75" customHeight="1">
      <c r="A57" s="65" t="s">
        <v>37</v>
      </c>
      <c r="B57" s="78"/>
      <c r="C57" s="78"/>
      <c r="D57" s="78"/>
      <c r="E57" s="66"/>
      <c r="F57" s="66"/>
    </row>
    <row r="58" spans="1:10" ht="26.25" customHeight="1">
      <c r="A58" s="76" t="s">
        <v>38</v>
      </c>
      <c r="B58" s="67" t="s">
        <v>32</v>
      </c>
      <c r="C58" s="67" t="s">
        <v>33</v>
      </c>
      <c r="D58" s="76" t="s">
        <v>19</v>
      </c>
      <c r="E58" s="67" t="s">
        <v>20</v>
      </c>
      <c r="F58" s="76" t="s">
        <v>21</v>
      </c>
    </row>
    <row r="59" spans="1:10" ht="12.75" customHeight="1">
      <c r="A59" s="68"/>
      <c r="B59" s="69"/>
      <c r="C59" s="69"/>
      <c r="D59" s="69"/>
      <c r="E59" s="70"/>
      <c r="F59" s="70">
        <v>0</v>
      </c>
    </row>
    <row r="60" spans="1:10" ht="13.5" customHeight="1">
      <c r="A60" s="65" t="s">
        <v>39</v>
      </c>
      <c r="B60" s="76"/>
      <c r="C60" s="76"/>
      <c r="D60" s="76"/>
      <c r="E60" s="65"/>
      <c r="F60" s="77">
        <f>F59</f>
        <v>0</v>
      </c>
    </row>
    <row r="61" spans="1:10" ht="12" customHeight="1">
      <c r="A61" s="91"/>
      <c r="B61" s="78"/>
      <c r="C61" s="78"/>
      <c r="D61" s="78"/>
      <c r="E61" s="66"/>
      <c r="F61" s="91"/>
    </row>
    <row r="62" spans="1:10" ht="12" customHeight="1">
      <c r="A62" s="92" t="s">
        <v>40</v>
      </c>
      <c r="B62" s="93"/>
      <c r="C62" s="93"/>
      <c r="D62" s="93"/>
      <c r="E62" s="92"/>
      <c r="F62" s="94">
        <f>F26+F35+F41+F55+F60</f>
        <v>2970871</v>
      </c>
    </row>
    <row r="63" spans="1:10" ht="24" customHeight="1">
      <c r="A63" s="92" t="s">
        <v>41</v>
      </c>
      <c r="B63" s="93"/>
      <c r="C63" s="93"/>
      <c r="D63" s="93"/>
      <c r="E63" s="92"/>
      <c r="F63" s="94">
        <f>F62*5%</f>
        <v>148543.55000000002</v>
      </c>
    </row>
    <row r="64" spans="1:10" ht="12.75" customHeight="1">
      <c r="A64" s="92" t="s">
        <v>42</v>
      </c>
      <c r="B64" s="93"/>
      <c r="C64" s="93"/>
      <c r="D64" s="93"/>
      <c r="E64" s="92"/>
      <c r="F64" s="94">
        <f>SUM(F62:F63)</f>
        <v>3119414.55</v>
      </c>
    </row>
    <row r="65" spans="1:6" ht="19.5" customHeight="1">
      <c r="A65" s="92" t="s">
        <v>43</v>
      </c>
      <c r="B65" s="93"/>
      <c r="C65" s="93"/>
      <c r="D65" s="93"/>
      <c r="E65" s="92"/>
      <c r="F65" s="94">
        <f>F11</f>
        <v>6000000</v>
      </c>
    </row>
    <row r="66" spans="1:6" ht="13.5" customHeight="1">
      <c r="A66" s="92" t="s">
        <v>44</v>
      </c>
      <c r="B66" s="93"/>
      <c r="C66" s="93"/>
      <c r="D66" s="93"/>
      <c r="E66" s="92"/>
      <c r="F66" s="94">
        <f>F65-F64</f>
        <v>2880585.45</v>
      </c>
    </row>
    <row r="67" spans="1:6" ht="12" customHeight="1">
      <c r="A67" s="95" t="s">
        <v>104</v>
      </c>
      <c r="B67" s="95"/>
      <c r="C67" s="95"/>
      <c r="D67" s="95"/>
      <c r="E67" s="95"/>
      <c r="F67" s="95"/>
    </row>
    <row r="68" spans="1:6" ht="12.75" customHeight="1" thickBot="1">
      <c r="A68" s="36"/>
      <c r="B68" s="35"/>
      <c r="C68" s="35"/>
      <c r="D68" s="35"/>
      <c r="E68" s="35"/>
      <c r="F68" s="32"/>
    </row>
    <row r="69" spans="1:6" ht="12" customHeight="1">
      <c r="A69" s="48" t="s">
        <v>45</v>
      </c>
      <c r="B69" s="49"/>
      <c r="C69" s="49"/>
      <c r="D69" s="49"/>
      <c r="E69" s="50"/>
      <c r="F69" s="32"/>
    </row>
    <row r="70" spans="1:6" ht="12" customHeight="1">
      <c r="A70" s="51" t="s">
        <v>46</v>
      </c>
      <c r="B70" s="34"/>
      <c r="C70" s="34"/>
      <c r="D70" s="34"/>
      <c r="E70" s="52"/>
      <c r="F70" s="32"/>
    </row>
    <row r="71" spans="1:6" ht="12" customHeight="1">
      <c r="A71" s="51" t="s">
        <v>47</v>
      </c>
      <c r="B71" s="34"/>
      <c r="C71" s="34"/>
      <c r="D71" s="34"/>
      <c r="E71" s="52"/>
      <c r="F71" s="32"/>
    </row>
    <row r="72" spans="1:6" ht="12" customHeight="1">
      <c r="A72" s="51" t="s">
        <v>48</v>
      </c>
      <c r="B72" s="34"/>
      <c r="C72" s="34"/>
      <c r="D72" s="34"/>
      <c r="E72" s="52"/>
      <c r="F72" s="32"/>
    </row>
    <row r="73" spans="1:6" ht="12" customHeight="1">
      <c r="A73" s="51" t="s">
        <v>49</v>
      </c>
      <c r="B73" s="34"/>
      <c r="C73" s="34"/>
      <c r="D73" s="34"/>
      <c r="E73" s="52"/>
      <c r="F73" s="32"/>
    </row>
    <row r="74" spans="1:6" ht="12" customHeight="1">
      <c r="A74" s="51" t="s">
        <v>50</v>
      </c>
      <c r="B74" s="34"/>
      <c r="C74" s="34"/>
      <c r="D74" s="34"/>
      <c r="E74" s="52"/>
      <c r="F74" s="32"/>
    </row>
    <row r="75" spans="1:6" ht="12.75" customHeight="1" thickBot="1">
      <c r="A75" s="53" t="s">
        <v>51</v>
      </c>
      <c r="B75" s="54"/>
      <c r="C75" s="54"/>
      <c r="D75" s="54"/>
      <c r="E75" s="55"/>
      <c r="F75" s="32"/>
    </row>
    <row r="76" spans="1:6" ht="12.75" customHeight="1">
      <c r="A76" s="46"/>
      <c r="B76" s="34"/>
      <c r="C76" s="34"/>
      <c r="D76" s="34"/>
      <c r="E76" s="34"/>
      <c r="F76" s="32"/>
    </row>
    <row r="77" spans="1:6" ht="15" customHeight="1" thickBot="1">
      <c r="A77" s="561" t="s">
        <v>52</v>
      </c>
      <c r="B77" s="562"/>
      <c r="C77" s="45"/>
      <c r="D77" s="26"/>
      <c r="E77" s="26"/>
      <c r="F77" s="32"/>
    </row>
    <row r="78" spans="1:6" ht="12" customHeight="1">
      <c r="A78" s="38" t="s">
        <v>38</v>
      </c>
      <c r="B78" s="27" t="s">
        <v>53</v>
      </c>
      <c r="C78" s="39" t="s">
        <v>54</v>
      </c>
      <c r="D78" s="26"/>
      <c r="E78" s="26"/>
      <c r="F78" s="32"/>
    </row>
    <row r="79" spans="1:6" ht="12" customHeight="1">
      <c r="A79" s="40" t="s">
        <v>55</v>
      </c>
      <c r="B79" s="28">
        <f>F26</f>
        <v>1040000</v>
      </c>
      <c r="C79" s="41">
        <f>(B79/B85)</f>
        <v>0.33339589314924495</v>
      </c>
      <c r="D79" s="26"/>
      <c r="E79" s="26"/>
      <c r="F79" s="32"/>
    </row>
    <row r="80" spans="1:6" ht="12" customHeight="1">
      <c r="A80" s="40" t="s">
        <v>56</v>
      </c>
      <c r="B80" s="28">
        <f>F35</f>
        <v>240000</v>
      </c>
      <c r="C80" s="41">
        <f>B80/B85</f>
        <v>7.693751380367192E-2</v>
      </c>
      <c r="D80" s="26"/>
      <c r="E80" s="26"/>
      <c r="F80" s="32"/>
    </row>
    <row r="81" spans="1:6" ht="12" customHeight="1">
      <c r="A81" s="40" t="s">
        <v>57</v>
      </c>
      <c r="B81" s="28">
        <f>F41</f>
        <v>183260</v>
      </c>
      <c r="C81" s="41">
        <f>(B81/B85)</f>
        <v>5.874820324858715E-2</v>
      </c>
      <c r="D81" s="26"/>
      <c r="E81" s="26"/>
      <c r="F81" s="32"/>
    </row>
    <row r="82" spans="1:6" ht="12" customHeight="1">
      <c r="A82" s="40" t="s">
        <v>31</v>
      </c>
      <c r="B82" s="28">
        <f>F55</f>
        <v>1507611</v>
      </c>
      <c r="C82" s="41">
        <f>(B82/B85)</f>
        <v>0.48329934217944842</v>
      </c>
      <c r="D82" s="26"/>
      <c r="E82" s="26"/>
      <c r="F82" s="32"/>
    </row>
    <row r="83" spans="1:6" ht="12" customHeight="1">
      <c r="A83" s="40" t="s">
        <v>58</v>
      </c>
      <c r="B83" s="29">
        <f>F59</f>
        <v>0</v>
      </c>
      <c r="C83" s="41">
        <f>(B83/B85)</f>
        <v>0</v>
      </c>
      <c r="D83" s="31"/>
      <c r="E83" s="31"/>
      <c r="F83" s="32"/>
    </row>
    <row r="84" spans="1:6" ht="12" customHeight="1">
      <c r="A84" s="40" t="s">
        <v>59</v>
      </c>
      <c r="B84" s="29">
        <f>F63</f>
        <v>148543.55000000002</v>
      </c>
      <c r="C84" s="41">
        <f>(B84/B85)</f>
        <v>4.761904761904763E-2</v>
      </c>
      <c r="D84" s="31"/>
      <c r="E84" s="31"/>
      <c r="F84" s="32"/>
    </row>
    <row r="85" spans="1:6" ht="12.75" customHeight="1" thickBot="1">
      <c r="A85" s="42" t="s">
        <v>60</v>
      </c>
      <c r="B85" s="43">
        <f>SUM(B79:B84)</f>
        <v>3119414.55</v>
      </c>
      <c r="C85" s="44">
        <f>SUM(C79:C84)</f>
        <v>1</v>
      </c>
      <c r="D85" s="31"/>
      <c r="E85" s="31"/>
      <c r="F85" s="32"/>
    </row>
    <row r="86" spans="1:6" ht="12" customHeight="1">
      <c r="A86" s="36"/>
      <c r="B86" s="35"/>
      <c r="C86" s="35"/>
      <c r="D86" s="35"/>
      <c r="E86" s="35"/>
      <c r="F86" s="32"/>
    </row>
    <row r="87" spans="1:6" ht="12.75" customHeight="1">
      <c r="A87" s="37"/>
      <c r="B87" s="35"/>
      <c r="C87" s="35"/>
      <c r="D87" s="35"/>
      <c r="E87" s="35"/>
      <c r="F87" s="32"/>
    </row>
    <row r="88" spans="1:6" ht="12" customHeight="1" thickBot="1">
      <c r="A88" s="57"/>
      <c r="B88" s="58" t="s">
        <v>61</v>
      </c>
      <c r="C88" s="59"/>
      <c r="D88" s="60"/>
      <c r="E88" s="30"/>
      <c r="F88" s="32"/>
    </row>
    <row r="89" spans="1:6" ht="12" customHeight="1">
      <c r="A89" s="61" t="s">
        <v>107</v>
      </c>
      <c r="B89" s="99">
        <v>20</v>
      </c>
      <c r="C89" s="99">
        <v>22.5</v>
      </c>
      <c r="D89" s="100">
        <v>25</v>
      </c>
      <c r="E89" s="56"/>
      <c r="F89" s="33"/>
    </row>
    <row r="90" spans="1:6" ht="12.75" customHeight="1" thickBot="1">
      <c r="A90" s="98" t="s">
        <v>106</v>
      </c>
      <c r="B90" s="101">
        <f>+$F$64/B89</f>
        <v>155970.72749999998</v>
      </c>
      <c r="C90" s="101">
        <f t="shared" ref="C90:D90" si="0">+$F$64/C89</f>
        <v>138640.64666666667</v>
      </c>
      <c r="D90" s="101">
        <f t="shared" si="0"/>
        <v>124776.58199999999</v>
      </c>
      <c r="E90" s="56"/>
      <c r="F90" s="33"/>
    </row>
    <row r="91" spans="1:6" ht="20.25" customHeight="1" thickBot="1">
      <c r="A91" s="102" t="s">
        <v>108</v>
      </c>
      <c r="B91" s="101">
        <f>25*B90/1000</f>
        <v>3899.2681874999994</v>
      </c>
      <c r="C91" s="101">
        <f t="shared" ref="C91:D91" si="1">25*C90/1000</f>
        <v>3466.0161666666663</v>
      </c>
      <c r="D91" s="101">
        <f t="shared" si="1"/>
        <v>3119.41455</v>
      </c>
      <c r="E91" s="56"/>
      <c r="F91" s="33"/>
    </row>
    <row r="92" spans="1:6" ht="15.6" customHeight="1">
      <c r="A92" s="47" t="s">
        <v>62</v>
      </c>
      <c r="B92" s="34"/>
      <c r="C92" s="34"/>
      <c r="D92" s="34"/>
      <c r="E92" s="34"/>
      <c r="F92" s="34"/>
    </row>
  </sheetData>
  <mergeCells count="8">
    <mergeCell ref="A77:B77"/>
    <mergeCell ref="D12:E12"/>
    <mergeCell ref="D10:E10"/>
    <mergeCell ref="D9:E9"/>
    <mergeCell ref="D8:E8"/>
    <mergeCell ref="D13:E13"/>
    <mergeCell ref="D14:E14"/>
    <mergeCell ref="A16:F16"/>
  </mergeCells>
  <pageMargins left="1.5748031496062993" right="0.23622047244094491" top="0.74803149606299213" bottom="0.74803149606299213" header="0.31496062992125984" footer="0.31496062992125984"/>
  <pageSetup paperSize="14" scale="63" orientation="portrait" r:id="rId1"/>
  <headerFooter>
    <oddFooter>&amp;C&amp;"Helvetica Neue,Regular"&amp;12&amp;K000000&amp;P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79"/>
  <sheetViews>
    <sheetView workbookViewId="0">
      <selection activeCell="B14" sqref="B14"/>
    </sheetView>
  </sheetViews>
  <sheetFormatPr baseColWidth="10" defaultColWidth="10.85546875" defaultRowHeight="11.25" customHeight="1"/>
  <cols>
    <col min="1" max="1" width="34.7109375" style="1" customWidth="1"/>
    <col min="2" max="2" width="19.42578125" style="1" customWidth="1"/>
    <col min="3" max="3" width="9.42578125" style="1" customWidth="1"/>
    <col min="4" max="4" width="17.7109375" style="1" customWidth="1"/>
    <col min="5" max="5" width="11" style="1" customWidth="1"/>
    <col min="6" max="6" width="19.5703125" style="1" customWidth="1"/>
    <col min="7" max="254" width="10.85546875" style="1" customWidth="1"/>
  </cols>
  <sheetData>
    <row r="1" spans="1:6" ht="15" customHeight="1">
      <c r="A1" s="2"/>
      <c r="B1" s="2"/>
      <c r="C1" s="2"/>
      <c r="D1" s="2"/>
      <c r="E1" s="2"/>
      <c r="F1" s="2"/>
    </row>
    <row r="2" spans="1:6" ht="15" customHeight="1">
      <c r="A2" s="2"/>
      <c r="B2" s="2"/>
      <c r="C2" s="2"/>
      <c r="D2" s="2"/>
      <c r="E2" s="2"/>
      <c r="F2" s="2"/>
    </row>
    <row r="3" spans="1:6" ht="15" customHeight="1">
      <c r="A3" s="2"/>
      <c r="B3" s="2"/>
      <c r="C3" s="2"/>
      <c r="D3" s="2"/>
      <c r="E3" s="2"/>
      <c r="F3" s="2"/>
    </row>
    <row r="4" spans="1:6" ht="15" customHeight="1">
      <c r="A4" s="2"/>
      <c r="B4" s="2"/>
      <c r="C4" s="2"/>
      <c r="D4" s="2"/>
      <c r="E4" s="2"/>
      <c r="F4" s="2"/>
    </row>
    <row r="5" spans="1:6" ht="15" customHeight="1">
      <c r="A5" s="2"/>
      <c r="B5" s="2"/>
      <c r="C5" s="2"/>
      <c r="D5" s="2"/>
      <c r="E5" s="2"/>
      <c r="F5" s="2"/>
    </row>
    <row r="6" spans="1:6" ht="15" customHeight="1">
      <c r="A6" s="2"/>
      <c r="B6" s="2"/>
      <c r="C6" s="2"/>
      <c r="D6" s="2"/>
      <c r="E6" s="2"/>
      <c r="F6" s="2"/>
    </row>
    <row r="7" spans="1:6" ht="15" customHeight="1">
      <c r="A7" s="3"/>
      <c r="B7" s="4"/>
      <c r="C7" s="2"/>
      <c r="D7" s="4"/>
      <c r="E7" s="4"/>
      <c r="F7" s="4"/>
    </row>
    <row r="8" spans="1:6" ht="12" customHeight="1">
      <c r="A8" s="5" t="s">
        <v>0</v>
      </c>
      <c r="B8" s="301" t="s">
        <v>338</v>
      </c>
      <c r="C8" s="6"/>
      <c r="D8" s="565" t="s">
        <v>148</v>
      </c>
      <c r="E8" s="566"/>
      <c r="F8" s="241">
        <v>4000</v>
      </c>
    </row>
    <row r="9" spans="1:6" ht="18" customHeight="1">
      <c r="A9" s="8" t="s">
        <v>1</v>
      </c>
      <c r="B9" s="424" t="s">
        <v>339</v>
      </c>
      <c r="C9" s="10"/>
      <c r="D9" s="563" t="s">
        <v>2</v>
      </c>
      <c r="E9" s="564"/>
      <c r="F9" s="11" t="s">
        <v>340</v>
      </c>
    </row>
    <row r="10" spans="1:6" ht="18" customHeight="1">
      <c r="A10" s="8" t="s">
        <v>3</v>
      </c>
      <c r="B10" s="218" t="s">
        <v>4</v>
      </c>
      <c r="C10" s="10"/>
      <c r="D10" s="563" t="s">
        <v>149</v>
      </c>
      <c r="E10" s="564"/>
      <c r="F10" s="134">
        <v>800</v>
      </c>
    </row>
    <row r="11" spans="1:6" ht="11.25" customHeight="1">
      <c r="A11" s="8" t="s">
        <v>5</v>
      </c>
      <c r="B11" s="303" t="s">
        <v>65</v>
      </c>
      <c r="C11" s="10"/>
      <c r="D11" s="96" t="s">
        <v>6</v>
      </c>
      <c r="E11" s="97"/>
      <c r="F11" s="242">
        <f>F10*F8</f>
        <v>3200000</v>
      </c>
    </row>
    <row r="12" spans="1:6" ht="11.25" customHeight="1">
      <c r="A12" s="8" t="s">
        <v>7</v>
      </c>
      <c r="B12" s="218" t="s">
        <v>66</v>
      </c>
      <c r="C12" s="10"/>
      <c r="D12" s="563" t="s">
        <v>8</v>
      </c>
      <c r="E12" s="564"/>
      <c r="F12" s="11" t="s">
        <v>342</v>
      </c>
    </row>
    <row r="13" spans="1:6" ht="15" customHeight="1">
      <c r="A13" s="8" t="s">
        <v>9</v>
      </c>
      <c r="B13" s="218" t="s">
        <v>66</v>
      </c>
      <c r="C13" s="10"/>
      <c r="D13" s="563" t="s">
        <v>10</v>
      </c>
      <c r="E13" s="564"/>
      <c r="F13" s="303" t="s">
        <v>341</v>
      </c>
    </row>
    <row r="14" spans="1:6" ht="14.25" customHeight="1">
      <c r="A14" s="8" t="s">
        <v>11</v>
      </c>
      <c r="B14" s="304">
        <v>44197</v>
      </c>
      <c r="C14" s="10"/>
      <c r="D14" s="567" t="s">
        <v>12</v>
      </c>
      <c r="E14" s="568"/>
      <c r="F14" s="13" t="s">
        <v>151</v>
      </c>
    </row>
    <row r="15" spans="1:6" ht="12" customHeight="1">
      <c r="A15" s="18"/>
      <c r="B15" s="19"/>
      <c r="C15" s="20"/>
      <c r="D15" s="21"/>
      <c r="E15" s="21"/>
      <c r="F15" s="22"/>
    </row>
    <row r="16" spans="1:6" ht="12" customHeight="1">
      <c r="A16" s="569" t="s">
        <v>14</v>
      </c>
      <c r="B16" s="570"/>
      <c r="C16" s="570"/>
      <c r="D16" s="570"/>
      <c r="E16" s="570"/>
      <c r="F16" s="570"/>
    </row>
    <row r="17" spans="1:7" ht="12" customHeight="1">
      <c r="A17" s="23"/>
      <c r="B17" s="24"/>
      <c r="C17" s="24"/>
      <c r="D17" s="24"/>
      <c r="E17" s="25"/>
      <c r="F17" s="25"/>
    </row>
    <row r="18" spans="1:7" ht="12" customHeight="1">
      <c r="A18" s="92" t="s">
        <v>15</v>
      </c>
      <c r="B18" s="95"/>
      <c r="C18" s="95"/>
      <c r="D18" s="95"/>
      <c r="E18" s="95"/>
      <c r="F18" s="95"/>
      <c r="G18" s="238"/>
    </row>
    <row r="19" spans="1:7" ht="24" customHeight="1">
      <c r="A19" s="425" t="s">
        <v>16</v>
      </c>
      <c r="B19" s="425" t="s">
        <v>17</v>
      </c>
      <c r="C19" s="425" t="s">
        <v>18</v>
      </c>
      <c r="D19" s="305" t="s">
        <v>19</v>
      </c>
      <c r="E19" s="305" t="s">
        <v>20</v>
      </c>
      <c r="F19" s="305" t="s">
        <v>21</v>
      </c>
      <c r="G19" s="238"/>
    </row>
    <row r="20" spans="1:7" ht="12.75" customHeight="1">
      <c r="A20" s="120" t="s">
        <v>154</v>
      </c>
      <c r="B20" s="121" t="s">
        <v>22</v>
      </c>
      <c r="C20" s="121">
        <v>2</v>
      </c>
      <c r="D20" s="223" t="s">
        <v>343</v>
      </c>
      <c r="E20" s="223">
        <v>15000</v>
      </c>
      <c r="F20" s="122">
        <f>C20*E20</f>
        <v>30000</v>
      </c>
      <c r="G20" s="306"/>
    </row>
    <row r="21" spans="1:7" ht="14.25" customHeight="1">
      <c r="A21" s="120" t="s">
        <v>344</v>
      </c>
      <c r="B21" s="121" t="s">
        <v>22</v>
      </c>
      <c r="C21" s="121">
        <v>3</v>
      </c>
      <c r="D21" s="223" t="s">
        <v>345</v>
      </c>
      <c r="E21" s="223">
        <v>10000</v>
      </c>
      <c r="F21" s="122">
        <f>C21*E21</f>
        <v>30000</v>
      </c>
      <c r="G21" s="306"/>
    </row>
    <row r="22" spans="1:7" ht="12.75" customHeight="1">
      <c r="A22" s="426" t="s">
        <v>346</v>
      </c>
      <c r="B22" s="121" t="s">
        <v>22</v>
      </c>
      <c r="C22" s="121">
        <v>25</v>
      </c>
      <c r="D22" s="223" t="s">
        <v>347</v>
      </c>
      <c r="E22" s="223">
        <v>12000</v>
      </c>
      <c r="F22" s="427">
        <f>C22*E22</f>
        <v>300000</v>
      </c>
      <c r="G22" s="306"/>
    </row>
    <row r="23" spans="1:7" ht="12.75" customHeight="1">
      <c r="A23" s="92" t="s">
        <v>23</v>
      </c>
      <c r="B23" s="93"/>
      <c r="C23" s="93"/>
      <c r="D23" s="313"/>
      <c r="E23" s="94"/>
      <c r="F23" s="94">
        <f>SUM(F20:F22)</f>
        <v>360000</v>
      </c>
      <c r="G23" s="306"/>
    </row>
    <row r="24" spans="1:7" ht="12" customHeight="1">
      <c r="A24" s="95"/>
      <c r="B24" s="261"/>
      <c r="C24" s="261"/>
      <c r="D24" s="314"/>
      <c r="E24" s="238"/>
      <c r="F24" s="238"/>
      <c r="G24" s="306"/>
    </row>
    <row r="25" spans="1:7" ht="12" customHeight="1">
      <c r="A25" s="92" t="s">
        <v>24</v>
      </c>
      <c r="B25" s="261"/>
      <c r="C25" s="261"/>
      <c r="D25" s="314"/>
      <c r="E25" s="238"/>
      <c r="F25" s="238"/>
      <c r="G25" s="306"/>
    </row>
    <row r="26" spans="1:7" ht="24" customHeight="1">
      <c r="A26" s="93" t="s">
        <v>16</v>
      </c>
      <c r="B26" s="425" t="s">
        <v>17</v>
      </c>
      <c r="C26" s="425" t="s">
        <v>18</v>
      </c>
      <c r="D26" s="313" t="s">
        <v>19</v>
      </c>
      <c r="E26" s="305" t="s">
        <v>20</v>
      </c>
      <c r="F26" s="313" t="s">
        <v>21</v>
      </c>
      <c r="G26" s="306"/>
    </row>
    <row r="27" spans="1:7" ht="12" customHeight="1">
      <c r="A27" s="331" t="s">
        <v>154</v>
      </c>
      <c r="B27" s="332" t="s">
        <v>63</v>
      </c>
      <c r="C27" s="332">
        <v>2</v>
      </c>
      <c r="D27" s="311" t="s">
        <v>343</v>
      </c>
      <c r="E27" s="312">
        <v>15000</v>
      </c>
      <c r="F27" s="312">
        <f>C27*E27</f>
        <v>30000</v>
      </c>
      <c r="G27" s="306"/>
    </row>
    <row r="28" spans="1:7" ht="12" customHeight="1">
      <c r="A28" s="331" t="s">
        <v>348</v>
      </c>
      <c r="B28" s="332" t="s">
        <v>63</v>
      </c>
      <c r="C28" s="332">
        <v>1</v>
      </c>
      <c r="D28" s="331" t="s">
        <v>349</v>
      </c>
      <c r="E28" s="331">
        <v>15000</v>
      </c>
      <c r="F28" s="312">
        <f>C28*E28</f>
        <v>15000</v>
      </c>
      <c r="G28" s="306"/>
    </row>
    <row r="29" spans="1:7" ht="12" customHeight="1">
      <c r="A29" s="92" t="s">
        <v>25</v>
      </c>
      <c r="B29" s="93"/>
      <c r="C29" s="93"/>
      <c r="D29" s="313"/>
      <c r="E29" s="94"/>
      <c r="F29" s="94">
        <f>SUM(F27:F28)</f>
        <v>45000</v>
      </c>
      <c r="G29" s="306"/>
    </row>
    <row r="30" spans="1:7" ht="12" customHeight="1">
      <c r="A30" s="95"/>
      <c r="B30" s="261"/>
      <c r="C30" s="261"/>
      <c r="D30" s="314"/>
      <c r="E30" s="238"/>
      <c r="F30" s="238"/>
      <c r="G30" s="306"/>
    </row>
    <row r="31" spans="1:7" ht="24" customHeight="1">
      <c r="A31" s="92" t="s">
        <v>26</v>
      </c>
      <c r="B31" s="261"/>
      <c r="C31" s="261"/>
      <c r="D31" s="314"/>
      <c r="E31" s="238"/>
      <c r="F31" s="238"/>
      <c r="G31" s="306"/>
    </row>
    <row r="32" spans="1:7" ht="12.75" customHeight="1">
      <c r="A32" s="93" t="s">
        <v>16</v>
      </c>
      <c r="B32" s="93" t="s">
        <v>17</v>
      </c>
      <c r="C32" s="93" t="s">
        <v>18</v>
      </c>
      <c r="D32" s="313" t="s">
        <v>19</v>
      </c>
      <c r="E32" s="305" t="s">
        <v>20</v>
      </c>
      <c r="F32" s="313" t="s">
        <v>21</v>
      </c>
      <c r="G32" s="306"/>
    </row>
    <row r="33" spans="1:7" ht="30" customHeight="1">
      <c r="A33" s="120" t="s">
        <v>27</v>
      </c>
      <c r="B33" s="121" t="s">
        <v>162</v>
      </c>
      <c r="C33" s="121">
        <v>0.3</v>
      </c>
      <c r="D33" s="223" t="s">
        <v>172</v>
      </c>
      <c r="E33" s="223">
        <v>160000</v>
      </c>
      <c r="F33" s="122">
        <f>(C33*E33)*1.19</f>
        <v>57120</v>
      </c>
      <c r="G33" s="306"/>
    </row>
    <row r="34" spans="1:7" ht="12.75" customHeight="1">
      <c r="A34" s="120" t="s">
        <v>120</v>
      </c>
      <c r="B34" s="121" t="s">
        <v>162</v>
      </c>
      <c r="C34" s="121">
        <v>0.25</v>
      </c>
      <c r="D34" s="223" t="s">
        <v>172</v>
      </c>
      <c r="E34" s="223">
        <v>160000</v>
      </c>
      <c r="F34" s="122">
        <f>(C34*E34)*1.19</f>
        <v>47600</v>
      </c>
      <c r="G34" s="306"/>
    </row>
    <row r="35" spans="1:7" ht="12.75" customHeight="1">
      <c r="A35" s="92" t="s">
        <v>88</v>
      </c>
      <c r="B35" s="93"/>
      <c r="C35" s="93"/>
      <c r="D35" s="313"/>
      <c r="E35" s="94"/>
      <c r="F35" s="94">
        <f>SUM(F33:F34)</f>
        <v>104720</v>
      </c>
      <c r="G35" s="306"/>
    </row>
    <row r="36" spans="1:7" ht="12.75" customHeight="1">
      <c r="A36" s="95"/>
      <c r="B36" s="261"/>
      <c r="C36" s="261"/>
      <c r="D36" s="314"/>
      <c r="E36" s="238"/>
      <c r="F36" s="238"/>
      <c r="G36" s="306"/>
    </row>
    <row r="37" spans="1:7" ht="12.75" customHeight="1">
      <c r="A37" s="92" t="s">
        <v>30</v>
      </c>
      <c r="B37" s="261"/>
      <c r="C37" s="261"/>
      <c r="D37" s="314"/>
      <c r="E37" s="238"/>
      <c r="F37" s="238"/>
      <c r="G37" s="306"/>
    </row>
    <row r="38" spans="1:7" ht="25.5" customHeight="1">
      <c r="A38" s="425" t="s">
        <v>31</v>
      </c>
      <c r="B38" s="425" t="s">
        <v>32</v>
      </c>
      <c r="C38" s="425" t="s">
        <v>33</v>
      </c>
      <c r="D38" s="305" t="s">
        <v>19</v>
      </c>
      <c r="E38" s="305" t="s">
        <v>20</v>
      </c>
      <c r="F38" s="305" t="s">
        <v>21</v>
      </c>
      <c r="G38" s="306"/>
    </row>
    <row r="39" spans="1:7" ht="9.75" customHeight="1">
      <c r="A39" s="120" t="s">
        <v>350</v>
      </c>
      <c r="B39" s="121" t="s">
        <v>351</v>
      </c>
      <c r="C39" s="121">
        <v>120</v>
      </c>
      <c r="D39" s="223" t="s">
        <v>343</v>
      </c>
      <c r="E39" s="223">
        <v>3000</v>
      </c>
      <c r="F39" s="122">
        <f>(C39*E39)*1.19</f>
        <v>428400</v>
      </c>
      <c r="G39" s="306"/>
    </row>
    <row r="40" spans="1:7" ht="25.5" customHeight="1">
      <c r="A40" s="120" t="s">
        <v>352</v>
      </c>
      <c r="B40" s="121" t="s">
        <v>351</v>
      </c>
      <c r="C40" s="121">
        <v>2</v>
      </c>
      <c r="D40" s="223" t="s">
        <v>343</v>
      </c>
      <c r="E40" s="223">
        <v>14000</v>
      </c>
      <c r="F40" s="122">
        <f>(C40*E40)*1.19</f>
        <v>33320</v>
      </c>
      <c r="G40" s="306"/>
    </row>
    <row r="41" spans="1:7" ht="22.5" customHeight="1">
      <c r="A41" s="120" t="s">
        <v>353</v>
      </c>
      <c r="B41" s="121" t="s">
        <v>351</v>
      </c>
      <c r="C41" s="121">
        <v>200</v>
      </c>
      <c r="D41" s="223" t="s">
        <v>343</v>
      </c>
      <c r="E41" s="223">
        <v>380</v>
      </c>
      <c r="F41" s="122">
        <f>(C41*E41)*1.19</f>
        <v>90440</v>
      </c>
      <c r="G41" s="306"/>
    </row>
    <row r="42" spans="1:7" ht="12.75" customHeight="1">
      <c r="A42" s="428" t="s">
        <v>101</v>
      </c>
      <c r="B42" s="429" t="s">
        <v>354</v>
      </c>
      <c r="C42" s="121">
        <v>270</v>
      </c>
      <c r="D42" s="323" t="s">
        <v>355</v>
      </c>
      <c r="E42" s="430">
        <v>160</v>
      </c>
      <c r="F42" s="122">
        <f>(C42*E42)*1.19</f>
        <v>51408</v>
      </c>
      <c r="G42" s="306"/>
    </row>
    <row r="43" spans="1:7" ht="12.75" customHeight="1">
      <c r="A43" s="92" t="s">
        <v>181</v>
      </c>
      <c r="B43" s="93"/>
      <c r="C43" s="93"/>
      <c r="D43" s="313"/>
      <c r="E43" s="94"/>
      <c r="F43" s="94">
        <f>SUM(F39:F42)</f>
        <v>603568</v>
      </c>
      <c r="G43" s="306"/>
    </row>
    <row r="44" spans="1:7" ht="25.5" customHeight="1">
      <c r="A44" s="287"/>
      <c r="B44" s="261"/>
      <c r="C44" s="261"/>
      <c r="D44" s="314"/>
      <c r="E44" s="238"/>
      <c r="F44" s="325"/>
      <c r="G44" s="306"/>
    </row>
    <row r="45" spans="1:7" ht="12.75" customHeight="1">
      <c r="A45" s="92" t="s">
        <v>37</v>
      </c>
      <c r="B45" s="261"/>
      <c r="C45" s="261"/>
      <c r="D45" s="314"/>
      <c r="E45" s="238"/>
      <c r="F45" s="238"/>
      <c r="G45" s="306"/>
    </row>
    <row r="46" spans="1:7" ht="22.5" customHeight="1">
      <c r="A46" s="93" t="s">
        <v>38</v>
      </c>
      <c r="B46" s="425" t="s">
        <v>32</v>
      </c>
      <c r="C46" s="425" t="s">
        <v>33</v>
      </c>
      <c r="D46" s="313" t="s">
        <v>19</v>
      </c>
      <c r="E46" s="305" t="s">
        <v>20</v>
      </c>
      <c r="F46" s="313" t="s">
        <v>21</v>
      </c>
      <c r="G46" s="306"/>
    </row>
    <row r="47" spans="1:7" ht="12" customHeight="1">
      <c r="A47" s="331"/>
      <c r="B47" s="332"/>
      <c r="C47" s="332"/>
      <c r="D47" s="311"/>
      <c r="E47" s="312"/>
      <c r="F47" s="312">
        <v>0</v>
      </c>
      <c r="G47" s="306"/>
    </row>
    <row r="48" spans="1:7" ht="12" customHeight="1">
      <c r="A48" s="92" t="s">
        <v>39</v>
      </c>
      <c r="B48" s="93"/>
      <c r="C48" s="93"/>
      <c r="D48" s="313"/>
      <c r="E48" s="94"/>
      <c r="F48" s="94">
        <f>F47</f>
        <v>0</v>
      </c>
      <c r="G48" s="306"/>
    </row>
    <row r="49" spans="1:10" ht="24" customHeight="1">
      <c r="A49" s="287"/>
      <c r="B49" s="261"/>
      <c r="C49" s="261"/>
      <c r="D49" s="314"/>
      <c r="E49" s="238"/>
      <c r="F49" s="325"/>
      <c r="G49" s="306"/>
      <c r="J49" s="62"/>
    </row>
    <row r="50" spans="1:10" ht="12.75" customHeight="1">
      <c r="A50" s="92" t="s">
        <v>40</v>
      </c>
      <c r="B50" s="93"/>
      <c r="C50" s="93"/>
      <c r="D50" s="313"/>
      <c r="E50" s="94"/>
      <c r="F50" s="94">
        <f>F23+F29+F35+F43+F48</f>
        <v>1113288</v>
      </c>
      <c r="G50" s="306"/>
      <c r="J50" s="62"/>
    </row>
    <row r="51" spans="1:10" ht="12.75" customHeight="1">
      <c r="A51" s="92" t="s">
        <v>41</v>
      </c>
      <c r="B51" s="93"/>
      <c r="C51" s="93"/>
      <c r="D51" s="313"/>
      <c r="E51" s="94"/>
      <c r="F51" s="94">
        <f>F50*5%</f>
        <v>55664.4</v>
      </c>
      <c r="G51" s="306"/>
    </row>
    <row r="52" spans="1:10" ht="12.75" customHeight="1">
      <c r="A52" s="92" t="s">
        <v>42</v>
      </c>
      <c r="B52" s="93"/>
      <c r="C52" s="93"/>
      <c r="D52" s="313"/>
      <c r="E52" s="94"/>
      <c r="F52" s="94">
        <f>SUM(F50:F51)</f>
        <v>1168952.3999999999</v>
      </c>
      <c r="G52" s="306"/>
    </row>
    <row r="53" spans="1:10" ht="12.75" customHeight="1">
      <c r="A53" s="92" t="s">
        <v>43</v>
      </c>
      <c r="B53" s="93"/>
      <c r="C53" s="93"/>
      <c r="D53" s="313"/>
      <c r="E53" s="94"/>
      <c r="F53" s="94">
        <f>F11</f>
        <v>3200000</v>
      </c>
      <c r="G53" s="306"/>
    </row>
    <row r="54" spans="1:10" ht="12.75" customHeight="1">
      <c r="A54" s="92" t="s">
        <v>44</v>
      </c>
      <c r="B54" s="93"/>
      <c r="C54" s="93"/>
      <c r="D54" s="313"/>
      <c r="E54" s="94"/>
      <c r="F54" s="94">
        <f>F53-F52</f>
        <v>2031047.6</v>
      </c>
      <c r="G54" s="306"/>
    </row>
    <row r="55" spans="1:10" ht="12.75" customHeight="1">
      <c r="A55" s="95" t="s">
        <v>104</v>
      </c>
      <c r="B55" s="95"/>
      <c r="C55" s="95"/>
      <c r="D55" s="95"/>
      <c r="E55" s="95"/>
      <c r="F55" s="95"/>
      <c r="G55" s="306"/>
    </row>
    <row r="56" spans="1:10" ht="12.75" customHeight="1" thickBot="1">
      <c r="A56" s="238"/>
      <c r="B56" s="238"/>
      <c r="C56" s="238"/>
      <c r="D56" s="238"/>
      <c r="E56" s="238"/>
      <c r="F56" s="238"/>
      <c r="G56" s="306"/>
    </row>
    <row r="57" spans="1:10" ht="12" customHeight="1">
      <c r="A57" s="48" t="s">
        <v>45</v>
      </c>
      <c r="B57" s="49"/>
      <c r="C57" s="49"/>
      <c r="D57" s="49"/>
      <c r="E57" s="50"/>
      <c r="F57" s="32"/>
    </row>
    <row r="58" spans="1:10" ht="12" customHeight="1">
      <c r="A58" s="51" t="s">
        <v>46</v>
      </c>
      <c r="B58" s="34"/>
      <c r="C58" s="34"/>
      <c r="D58" s="34"/>
      <c r="E58" s="52"/>
      <c r="F58" s="32"/>
    </row>
    <row r="59" spans="1:10" ht="12" customHeight="1">
      <c r="A59" s="51" t="s">
        <v>47</v>
      </c>
      <c r="B59" s="34"/>
      <c r="C59" s="34"/>
      <c r="D59" s="34"/>
      <c r="E59" s="52"/>
      <c r="F59" s="32"/>
    </row>
    <row r="60" spans="1:10" ht="12" customHeight="1">
      <c r="A60" s="51" t="s">
        <v>48</v>
      </c>
      <c r="B60" s="34"/>
      <c r="C60" s="34"/>
      <c r="D60" s="34"/>
      <c r="E60" s="52"/>
      <c r="F60" s="32"/>
    </row>
    <row r="61" spans="1:10" ht="12" customHeight="1">
      <c r="A61" s="51" t="s">
        <v>49</v>
      </c>
      <c r="B61" s="34"/>
      <c r="C61" s="34"/>
      <c r="D61" s="34"/>
      <c r="E61" s="52"/>
      <c r="F61" s="32"/>
    </row>
    <row r="62" spans="1:10" ht="12" customHeight="1">
      <c r="A62" s="51" t="s">
        <v>50</v>
      </c>
      <c r="B62" s="34"/>
      <c r="C62" s="34"/>
      <c r="D62" s="34"/>
      <c r="E62" s="52"/>
      <c r="F62" s="32"/>
    </row>
    <row r="63" spans="1:10" ht="12.75" customHeight="1" thickBot="1">
      <c r="A63" s="53" t="s">
        <v>51</v>
      </c>
      <c r="B63" s="54"/>
      <c r="C63" s="54"/>
      <c r="D63" s="54"/>
      <c r="E63" s="55"/>
      <c r="F63" s="32"/>
    </row>
    <row r="64" spans="1:10" ht="12.75" customHeight="1">
      <c r="A64" s="46"/>
      <c r="B64" s="34"/>
      <c r="C64" s="34"/>
      <c r="D64" s="34"/>
      <c r="E64" s="34"/>
      <c r="F64" s="32"/>
    </row>
    <row r="65" spans="1:6" ht="15" customHeight="1" thickBot="1">
      <c r="A65" s="561" t="s">
        <v>52</v>
      </c>
      <c r="B65" s="562"/>
      <c r="C65" s="45"/>
      <c r="D65" s="26"/>
      <c r="E65" s="26"/>
      <c r="F65" s="32"/>
    </row>
    <row r="66" spans="1:6" ht="12" customHeight="1">
      <c r="A66" s="38" t="s">
        <v>38</v>
      </c>
      <c r="B66" s="27" t="s">
        <v>53</v>
      </c>
      <c r="C66" s="39" t="s">
        <v>54</v>
      </c>
      <c r="D66" s="26"/>
      <c r="E66" s="26"/>
      <c r="F66" s="32"/>
    </row>
    <row r="67" spans="1:6" ht="12" customHeight="1">
      <c r="A67" s="40" t="s">
        <v>55</v>
      </c>
      <c r="B67" s="28">
        <f>F23</f>
        <v>360000</v>
      </c>
      <c r="C67" s="41">
        <f>(B67/B73)</f>
        <v>0.30796805755307061</v>
      </c>
      <c r="D67" s="26"/>
      <c r="E67" s="26"/>
      <c r="F67" s="32"/>
    </row>
    <row r="68" spans="1:6" ht="12" customHeight="1">
      <c r="A68" s="40" t="s">
        <v>56</v>
      </c>
      <c r="B68" s="28">
        <f>F29</f>
        <v>45000</v>
      </c>
      <c r="C68" s="41">
        <f>B68/B73</f>
        <v>3.8496007194133826E-2</v>
      </c>
      <c r="D68" s="26"/>
      <c r="E68" s="26"/>
      <c r="F68" s="32"/>
    </row>
    <row r="69" spans="1:6" ht="12" customHeight="1">
      <c r="A69" s="40" t="s">
        <v>57</v>
      </c>
      <c r="B69" s="28">
        <f>F35</f>
        <v>104720</v>
      </c>
      <c r="C69" s="41">
        <f>(B69/B73)</f>
        <v>8.9584486074882091E-2</v>
      </c>
      <c r="D69" s="26"/>
      <c r="E69" s="26"/>
      <c r="F69" s="32"/>
    </row>
    <row r="70" spans="1:6" ht="12" customHeight="1">
      <c r="A70" s="40" t="s">
        <v>31</v>
      </c>
      <c r="B70" s="28">
        <f>F43</f>
        <v>603568</v>
      </c>
      <c r="C70" s="41">
        <f>(B70/B73)</f>
        <v>0.51633240155886595</v>
      </c>
      <c r="D70" s="26"/>
      <c r="E70" s="26"/>
      <c r="F70" s="32"/>
    </row>
    <row r="71" spans="1:6" ht="12" customHeight="1">
      <c r="A71" s="40" t="s">
        <v>58</v>
      </c>
      <c r="B71" s="29"/>
      <c r="C71" s="41">
        <f>(B71/B73)</f>
        <v>0</v>
      </c>
      <c r="D71" s="31"/>
      <c r="E71" s="31"/>
      <c r="F71" s="32"/>
    </row>
    <row r="72" spans="1:6" ht="12" customHeight="1">
      <c r="A72" s="40" t="s">
        <v>59</v>
      </c>
      <c r="B72" s="29">
        <f>F51</f>
        <v>55664.4</v>
      </c>
      <c r="C72" s="41">
        <f>(B72/B73)</f>
        <v>4.7619047619047623E-2</v>
      </c>
      <c r="D72" s="31"/>
      <c r="E72" s="31"/>
      <c r="F72" s="32"/>
    </row>
    <row r="73" spans="1:6" ht="12.75" customHeight="1" thickBot="1">
      <c r="A73" s="42" t="s">
        <v>60</v>
      </c>
      <c r="B73" s="43">
        <f>SUM(B67:B72)</f>
        <v>1168952.3999999999</v>
      </c>
      <c r="C73" s="44">
        <f>SUM(C67:C72)</f>
        <v>1</v>
      </c>
      <c r="D73" s="31"/>
      <c r="E73" s="31"/>
      <c r="F73" s="32"/>
    </row>
    <row r="74" spans="1:6" ht="12" customHeight="1">
      <c r="A74" s="36"/>
      <c r="B74" s="35"/>
      <c r="C74" s="35"/>
      <c r="D74" s="35"/>
      <c r="E74" s="35"/>
      <c r="F74" s="32"/>
    </row>
    <row r="75" spans="1:6" ht="12.75" customHeight="1">
      <c r="A75" s="37"/>
      <c r="B75" s="35"/>
      <c r="C75" s="35"/>
      <c r="D75" s="35"/>
      <c r="E75" s="35"/>
      <c r="F75" s="32"/>
    </row>
    <row r="76" spans="1:6" ht="12" customHeight="1" thickBot="1">
      <c r="A76" s="57"/>
      <c r="B76" s="58" t="s">
        <v>61</v>
      </c>
      <c r="C76" s="59"/>
      <c r="D76" s="60"/>
      <c r="E76" s="30"/>
      <c r="F76" s="32"/>
    </row>
    <row r="77" spans="1:6" ht="12" customHeight="1">
      <c r="A77" s="61" t="s">
        <v>309</v>
      </c>
      <c r="B77" s="99">
        <v>3000</v>
      </c>
      <c r="C77" s="99">
        <v>3500</v>
      </c>
      <c r="D77" s="326">
        <v>4000</v>
      </c>
      <c r="E77" s="56"/>
      <c r="F77" s="33"/>
    </row>
    <row r="78" spans="1:6" ht="20.25" customHeight="1" thickBot="1">
      <c r="A78" s="102" t="s">
        <v>207</v>
      </c>
      <c r="B78" s="101">
        <f>$F$52/B77</f>
        <v>389.65079999999995</v>
      </c>
      <c r="C78" s="101">
        <f>F52/C77</f>
        <v>333.98639999999995</v>
      </c>
      <c r="D78" s="101">
        <f>F52/D77</f>
        <v>292.23809999999997</v>
      </c>
      <c r="E78" s="56"/>
      <c r="F78" s="33"/>
    </row>
    <row r="79" spans="1:6" ht="15.6" customHeight="1">
      <c r="A79" s="47" t="s">
        <v>62</v>
      </c>
      <c r="B79" s="34"/>
      <c r="C79" s="34"/>
      <c r="D79" s="34"/>
      <c r="E79" s="34"/>
      <c r="F79" s="34"/>
    </row>
  </sheetData>
  <mergeCells count="8">
    <mergeCell ref="A16:F16"/>
    <mergeCell ref="A65:B65"/>
    <mergeCell ref="D8:E8"/>
    <mergeCell ref="D9:E9"/>
    <mergeCell ref="D10:E10"/>
    <mergeCell ref="D12:E12"/>
    <mergeCell ref="D13:E13"/>
    <mergeCell ref="D14:E1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78"/>
  <sheetViews>
    <sheetView topLeftCell="A55" workbookViewId="0">
      <selection activeCell="F76" sqref="F76"/>
    </sheetView>
  </sheetViews>
  <sheetFormatPr baseColWidth="10" defaultColWidth="10.85546875" defaultRowHeight="11.25" customHeight="1"/>
  <cols>
    <col min="1" max="1" width="34.7109375" style="1" customWidth="1"/>
    <col min="2" max="2" width="19.42578125" style="1" customWidth="1"/>
    <col min="3" max="3" width="9.42578125" style="1" customWidth="1"/>
    <col min="4" max="4" width="17.7109375" style="1" customWidth="1"/>
    <col min="5" max="5" width="11" style="1" customWidth="1"/>
    <col min="6" max="6" width="19.5703125" style="1" customWidth="1"/>
    <col min="7" max="254" width="10.85546875" style="1" customWidth="1"/>
  </cols>
  <sheetData>
    <row r="1" spans="1:6" ht="15" customHeight="1">
      <c r="A1" s="2"/>
      <c r="B1" s="2"/>
      <c r="C1" s="2"/>
      <c r="D1" s="2"/>
      <c r="E1" s="2"/>
      <c r="F1" s="2"/>
    </row>
    <row r="2" spans="1:6" ht="15" customHeight="1">
      <c r="A2" s="2"/>
      <c r="B2" s="2"/>
      <c r="C2" s="2"/>
      <c r="D2" s="2"/>
      <c r="E2" s="2"/>
      <c r="F2" s="2"/>
    </row>
    <row r="3" spans="1:6" ht="15" customHeight="1">
      <c r="A3" s="2"/>
      <c r="B3" s="2"/>
      <c r="C3" s="2"/>
      <c r="D3" s="2"/>
      <c r="E3" s="2"/>
      <c r="F3" s="2"/>
    </row>
    <row r="4" spans="1:6" ht="15" customHeight="1">
      <c r="A4" s="2"/>
      <c r="B4" s="2"/>
      <c r="C4" s="2"/>
      <c r="D4" s="2"/>
      <c r="E4" s="2"/>
      <c r="F4" s="2"/>
    </row>
    <row r="5" spans="1:6" ht="15" customHeight="1">
      <c r="A5" s="2"/>
      <c r="B5" s="2"/>
      <c r="C5" s="2"/>
      <c r="D5" s="2"/>
      <c r="E5" s="2"/>
      <c r="F5" s="2"/>
    </row>
    <row r="6" spans="1:6" ht="15" customHeight="1">
      <c r="A6" s="2"/>
      <c r="B6" s="2"/>
      <c r="C6" s="2"/>
      <c r="D6" s="2"/>
      <c r="E6" s="2"/>
      <c r="F6" s="2"/>
    </row>
    <row r="7" spans="1:6" ht="15" customHeight="1">
      <c r="A7" s="3"/>
      <c r="B7" s="4"/>
      <c r="C7" s="2"/>
      <c r="D7" s="4"/>
      <c r="E7" s="4"/>
      <c r="F7" s="4"/>
    </row>
    <row r="8" spans="1:6" ht="12" customHeight="1">
      <c r="A8" s="431" t="s">
        <v>0</v>
      </c>
      <c r="B8" s="484" t="s">
        <v>356</v>
      </c>
      <c r="C8" s="432"/>
      <c r="D8" s="590" t="s">
        <v>357</v>
      </c>
      <c r="E8" s="591"/>
      <c r="F8" s="433">
        <v>8500</v>
      </c>
    </row>
    <row r="9" spans="1:6" ht="20.25" customHeight="1">
      <c r="A9" s="434" t="s">
        <v>1</v>
      </c>
      <c r="B9" s="485" t="s">
        <v>358</v>
      </c>
      <c r="C9" s="432"/>
      <c r="D9" s="589" t="s">
        <v>2</v>
      </c>
      <c r="E9" s="589"/>
      <c r="F9" s="435" t="s">
        <v>378</v>
      </c>
    </row>
    <row r="10" spans="1:6" ht="18" customHeight="1">
      <c r="A10" s="434" t="s">
        <v>3</v>
      </c>
      <c r="B10" s="485" t="s">
        <v>4</v>
      </c>
      <c r="C10" s="432"/>
      <c r="D10" s="589" t="s">
        <v>359</v>
      </c>
      <c r="E10" s="589"/>
      <c r="F10" s="433">
        <v>1000</v>
      </c>
    </row>
    <row r="11" spans="1:6" ht="11.25" customHeight="1">
      <c r="A11" s="434" t="s">
        <v>5</v>
      </c>
      <c r="B11" s="485" t="s">
        <v>65</v>
      </c>
      <c r="C11" s="432"/>
      <c r="D11" s="589" t="s">
        <v>360</v>
      </c>
      <c r="E11" s="589"/>
      <c r="F11" s="433">
        <f>F8*F10</f>
        <v>8500000</v>
      </c>
    </row>
    <row r="12" spans="1:6" ht="11.25" customHeight="1">
      <c r="A12" s="434" t="s">
        <v>361</v>
      </c>
      <c r="B12" s="485" t="s">
        <v>66</v>
      </c>
      <c r="C12" s="432"/>
      <c r="D12" s="589" t="s">
        <v>362</v>
      </c>
      <c r="E12" s="589"/>
      <c r="F12" s="433" t="s">
        <v>363</v>
      </c>
    </row>
    <row r="13" spans="1:6" ht="13.5" customHeight="1">
      <c r="A13" s="434" t="s">
        <v>9</v>
      </c>
      <c r="B13" s="485" t="s">
        <v>66</v>
      </c>
      <c r="C13" s="432"/>
      <c r="D13" s="589" t="s">
        <v>10</v>
      </c>
      <c r="E13" s="589"/>
      <c r="F13" s="435" t="s">
        <v>378</v>
      </c>
    </row>
    <row r="14" spans="1:6" ht="29.25" customHeight="1">
      <c r="A14" s="434" t="s">
        <v>11</v>
      </c>
      <c r="B14" s="304">
        <v>44197</v>
      </c>
      <c r="C14" s="432"/>
      <c r="D14" s="592" t="s">
        <v>12</v>
      </c>
      <c r="E14" s="592"/>
      <c r="F14" s="436" t="s">
        <v>379</v>
      </c>
    </row>
    <row r="15" spans="1:6" ht="12" customHeight="1">
      <c r="A15" s="437"/>
      <c r="B15" s="438"/>
      <c r="C15" s="432"/>
      <c r="D15" s="439"/>
      <c r="E15" s="439"/>
      <c r="F15" s="440"/>
    </row>
    <row r="16" spans="1:6" ht="12" customHeight="1">
      <c r="A16" s="586" t="s">
        <v>14</v>
      </c>
      <c r="B16" s="587"/>
      <c r="C16" s="587"/>
      <c r="D16" s="587"/>
      <c r="E16" s="587"/>
      <c r="F16" s="588"/>
    </row>
    <row r="17" spans="1:7" ht="12" customHeight="1">
      <c r="A17" s="432"/>
      <c r="B17" s="441"/>
      <c r="C17" s="442"/>
      <c r="D17" s="443"/>
      <c r="E17" s="444"/>
      <c r="F17" s="445"/>
    </row>
    <row r="18" spans="1:7" ht="12" customHeight="1">
      <c r="A18" s="446" t="s">
        <v>15</v>
      </c>
      <c r="B18" s="438"/>
      <c r="C18" s="439"/>
      <c r="D18" s="439"/>
      <c r="E18" s="439"/>
      <c r="F18" s="438"/>
      <c r="G18" s="238"/>
    </row>
    <row r="19" spans="1:7" ht="24" customHeight="1">
      <c r="A19" s="447" t="s">
        <v>16</v>
      </c>
      <c r="B19" s="447" t="s">
        <v>17</v>
      </c>
      <c r="C19" s="447" t="s">
        <v>18</v>
      </c>
      <c r="D19" s="447" t="s">
        <v>19</v>
      </c>
      <c r="E19" s="447" t="s">
        <v>20</v>
      </c>
      <c r="F19" s="447" t="s">
        <v>21</v>
      </c>
      <c r="G19" s="238"/>
    </row>
    <row r="20" spans="1:7" ht="12.75" customHeight="1">
      <c r="A20" s="448" t="s">
        <v>381</v>
      </c>
      <c r="B20" s="449" t="s">
        <v>22</v>
      </c>
      <c r="C20" s="450">
        <v>10</v>
      </c>
      <c r="D20" s="449" t="s">
        <v>382</v>
      </c>
      <c r="E20" s="451">
        <v>15000</v>
      </c>
      <c r="F20" s="452">
        <f>E20*C20</f>
        <v>150000</v>
      </c>
      <c r="G20" s="306"/>
    </row>
    <row r="21" spans="1:7" ht="14.25" customHeight="1">
      <c r="A21" s="453" t="s">
        <v>364</v>
      </c>
      <c r="B21" s="449" t="s">
        <v>22</v>
      </c>
      <c r="C21" s="450">
        <v>5</v>
      </c>
      <c r="D21" s="449" t="s">
        <v>383</v>
      </c>
      <c r="E21" s="451">
        <v>15000</v>
      </c>
      <c r="F21" s="452">
        <f t="shared" ref="F21:F24" si="0">E21*C21</f>
        <v>75000</v>
      </c>
      <c r="G21" s="306"/>
    </row>
    <row r="22" spans="1:7" ht="12.75" customHeight="1">
      <c r="A22" s="453" t="s">
        <v>365</v>
      </c>
      <c r="B22" s="449" t="s">
        <v>22</v>
      </c>
      <c r="C22" s="454">
        <v>10</v>
      </c>
      <c r="D22" s="449" t="s">
        <v>384</v>
      </c>
      <c r="E22" s="451">
        <v>15000</v>
      </c>
      <c r="F22" s="452">
        <f t="shared" si="0"/>
        <v>150000</v>
      </c>
      <c r="G22" s="306"/>
    </row>
    <row r="23" spans="1:7" ht="12.75" customHeight="1">
      <c r="A23" s="453" t="s">
        <v>366</v>
      </c>
      <c r="B23" s="449" t="s">
        <v>22</v>
      </c>
      <c r="C23" s="454">
        <v>1</v>
      </c>
      <c r="D23" s="449" t="s">
        <v>385</v>
      </c>
      <c r="E23" s="451">
        <v>15000</v>
      </c>
      <c r="F23" s="452">
        <f t="shared" si="0"/>
        <v>15000</v>
      </c>
      <c r="G23" s="306"/>
    </row>
    <row r="24" spans="1:7" ht="12" customHeight="1">
      <c r="A24" s="453" t="s">
        <v>367</v>
      </c>
      <c r="B24" s="449" t="s">
        <v>22</v>
      </c>
      <c r="C24" s="454">
        <v>200</v>
      </c>
      <c r="D24" s="455" t="s">
        <v>380</v>
      </c>
      <c r="E24" s="451">
        <v>15000</v>
      </c>
      <c r="F24" s="452">
        <f t="shared" si="0"/>
        <v>3000000</v>
      </c>
      <c r="G24" s="306"/>
    </row>
    <row r="25" spans="1:7" ht="12" customHeight="1">
      <c r="A25" s="456" t="s">
        <v>23</v>
      </c>
      <c r="B25" s="457"/>
      <c r="C25" s="458"/>
      <c r="D25" s="458"/>
      <c r="E25" s="456"/>
      <c r="F25" s="459">
        <f>SUM(F20:F24)</f>
        <v>3390000</v>
      </c>
      <c r="G25" s="306"/>
    </row>
    <row r="26" spans="1:7" ht="24" customHeight="1">
      <c r="A26" s="439"/>
      <c r="B26" s="438"/>
      <c r="C26" s="460"/>
      <c r="D26" s="460"/>
      <c r="E26" s="439"/>
      <c r="F26" s="438"/>
      <c r="G26" s="306"/>
    </row>
    <row r="27" spans="1:7" ht="12" customHeight="1">
      <c r="A27" s="446" t="s">
        <v>26</v>
      </c>
      <c r="B27" s="438"/>
      <c r="C27" s="460"/>
      <c r="D27" s="460"/>
      <c r="E27" s="439"/>
      <c r="F27" s="438"/>
      <c r="G27" s="306"/>
    </row>
    <row r="28" spans="1:7" ht="12" customHeight="1">
      <c r="A28" s="461" t="s">
        <v>16</v>
      </c>
      <c r="B28" s="461" t="s">
        <v>17</v>
      </c>
      <c r="C28" s="461" t="s">
        <v>18</v>
      </c>
      <c r="D28" s="461" t="s">
        <v>19</v>
      </c>
      <c r="E28" s="447" t="s">
        <v>20</v>
      </c>
      <c r="F28" s="461" t="s">
        <v>21</v>
      </c>
      <c r="G28" s="306"/>
    </row>
    <row r="29" spans="1:7" ht="12" customHeight="1">
      <c r="A29" s="462" t="s">
        <v>368</v>
      </c>
      <c r="B29" s="463" t="s">
        <v>162</v>
      </c>
      <c r="C29" s="463">
        <v>4</v>
      </c>
      <c r="D29" s="463" t="s">
        <v>386</v>
      </c>
      <c r="E29" s="464">
        <v>20000</v>
      </c>
      <c r="F29" s="465">
        <f>+E29*C29</f>
        <v>80000</v>
      </c>
      <c r="G29" s="306"/>
    </row>
    <row r="30" spans="1:7" ht="12" customHeight="1">
      <c r="A30" s="456" t="s">
        <v>167</v>
      </c>
      <c r="B30" s="457"/>
      <c r="C30" s="458"/>
      <c r="D30" s="458"/>
      <c r="E30" s="456"/>
      <c r="F30" s="459">
        <f>SUM(F29:F29)</f>
        <v>80000</v>
      </c>
      <c r="G30" s="306"/>
    </row>
    <row r="31" spans="1:7" ht="24" customHeight="1">
      <c r="A31" s="439"/>
      <c r="B31" s="438"/>
      <c r="C31" s="460"/>
      <c r="D31" s="460"/>
      <c r="E31" s="439"/>
      <c r="F31" s="438"/>
      <c r="G31" s="306"/>
    </row>
    <row r="32" spans="1:7" ht="12.75" customHeight="1">
      <c r="A32" s="446" t="s">
        <v>30</v>
      </c>
      <c r="B32" s="438"/>
      <c r="C32" s="460"/>
      <c r="D32" s="460"/>
      <c r="E32" s="439"/>
      <c r="F32" s="438"/>
      <c r="G32" s="306"/>
    </row>
    <row r="33" spans="1:7" ht="30" customHeight="1">
      <c r="A33" s="447" t="s">
        <v>31</v>
      </c>
      <c r="B33" s="447" t="s">
        <v>32</v>
      </c>
      <c r="C33" s="447" t="s">
        <v>33</v>
      </c>
      <c r="D33" s="447" t="s">
        <v>19</v>
      </c>
      <c r="E33" s="447" t="s">
        <v>20</v>
      </c>
      <c r="F33" s="447" t="s">
        <v>21</v>
      </c>
      <c r="G33" s="306"/>
    </row>
    <row r="34" spans="1:7" ht="12.75" customHeight="1">
      <c r="A34" s="466" t="s">
        <v>34</v>
      </c>
      <c r="B34" s="449"/>
      <c r="C34" s="455"/>
      <c r="D34" s="463"/>
      <c r="E34" s="451"/>
      <c r="F34" s="467"/>
      <c r="G34" s="306"/>
    </row>
    <row r="35" spans="1:7" ht="12.75" customHeight="1">
      <c r="A35" s="468" t="s">
        <v>369</v>
      </c>
      <c r="B35" s="449" t="s">
        <v>35</v>
      </c>
      <c r="C35" s="455">
        <v>300</v>
      </c>
      <c r="D35" s="449" t="s">
        <v>385</v>
      </c>
      <c r="E35" s="451">
        <v>560</v>
      </c>
      <c r="F35" s="469">
        <f t="shared" ref="F35:F42" si="1">C35*E35*1.19</f>
        <v>199920</v>
      </c>
      <c r="G35" s="306"/>
    </row>
    <row r="36" spans="1:7" ht="12.75" customHeight="1">
      <c r="A36" s="468" t="s">
        <v>370</v>
      </c>
      <c r="B36" s="449" t="s">
        <v>35</v>
      </c>
      <c r="C36" s="455">
        <v>150</v>
      </c>
      <c r="D36" s="449" t="s">
        <v>387</v>
      </c>
      <c r="E36" s="451">
        <v>550</v>
      </c>
      <c r="F36" s="469">
        <f>+C36*E36*1.19</f>
        <v>98175</v>
      </c>
      <c r="G36" s="306"/>
    </row>
    <row r="37" spans="1:7" ht="12.75" customHeight="1">
      <c r="A37" s="470" t="s">
        <v>371</v>
      </c>
      <c r="B37" s="449" t="s">
        <v>35</v>
      </c>
      <c r="C37" s="455">
        <v>400</v>
      </c>
      <c r="D37" s="449" t="s">
        <v>116</v>
      </c>
      <c r="E37" s="451">
        <v>560</v>
      </c>
      <c r="F37" s="469">
        <f t="shared" si="1"/>
        <v>266560</v>
      </c>
      <c r="G37" s="306"/>
    </row>
    <row r="38" spans="1:7" ht="25.5" customHeight="1">
      <c r="A38" s="466" t="s">
        <v>134</v>
      </c>
      <c r="B38" s="449"/>
      <c r="C38" s="455"/>
      <c r="D38" s="463"/>
      <c r="E38" s="451"/>
      <c r="F38" s="469"/>
      <c r="G38" s="306"/>
    </row>
    <row r="39" spans="1:7" ht="9.75" customHeight="1">
      <c r="A39" s="468" t="s">
        <v>195</v>
      </c>
      <c r="B39" s="449" t="s">
        <v>93</v>
      </c>
      <c r="C39" s="455">
        <v>2</v>
      </c>
      <c r="D39" s="463" t="s">
        <v>372</v>
      </c>
      <c r="E39" s="451">
        <v>13000</v>
      </c>
      <c r="F39" s="469">
        <f t="shared" si="1"/>
        <v>30940</v>
      </c>
      <c r="G39" s="306"/>
    </row>
    <row r="40" spans="1:7" ht="25.5" customHeight="1">
      <c r="A40" s="468" t="s">
        <v>373</v>
      </c>
      <c r="B40" s="449" t="s">
        <v>93</v>
      </c>
      <c r="C40" s="454">
        <v>2</v>
      </c>
      <c r="D40" s="449" t="s">
        <v>374</v>
      </c>
      <c r="E40" s="451">
        <v>10000</v>
      </c>
      <c r="F40" s="469">
        <f t="shared" si="1"/>
        <v>23800</v>
      </c>
      <c r="G40" s="306"/>
    </row>
    <row r="41" spans="1:7" ht="22.5" customHeight="1">
      <c r="A41" s="466" t="s">
        <v>375</v>
      </c>
      <c r="B41" s="449"/>
      <c r="C41" s="455"/>
      <c r="D41" s="449"/>
      <c r="E41" s="451"/>
      <c r="F41" s="469"/>
      <c r="G41" s="306"/>
    </row>
    <row r="42" spans="1:7" ht="12.75" customHeight="1">
      <c r="A42" s="470" t="s">
        <v>376</v>
      </c>
      <c r="B42" s="449" t="s">
        <v>93</v>
      </c>
      <c r="C42" s="455">
        <v>3</v>
      </c>
      <c r="D42" s="449" t="s">
        <v>388</v>
      </c>
      <c r="E42" s="451">
        <v>17000</v>
      </c>
      <c r="F42" s="469">
        <f t="shared" si="1"/>
        <v>60690</v>
      </c>
      <c r="G42" s="306"/>
    </row>
    <row r="43" spans="1:7" ht="12.75" customHeight="1">
      <c r="A43" s="456" t="s">
        <v>181</v>
      </c>
      <c r="B43" s="457"/>
      <c r="C43" s="458"/>
      <c r="D43" s="458"/>
      <c r="E43" s="456"/>
      <c r="F43" s="459">
        <f>SUM(F34:F42)</f>
        <v>680085</v>
      </c>
      <c r="G43" s="306"/>
    </row>
    <row r="44" spans="1:7" ht="25.5" customHeight="1">
      <c r="A44" s="444"/>
      <c r="B44" s="438"/>
      <c r="C44" s="460"/>
      <c r="D44" s="460"/>
      <c r="E44" s="439"/>
      <c r="F44" s="440"/>
      <c r="G44" s="306"/>
    </row>
    <row r="45" spans="1:7" ht="12.75" customHeight="1">
      <c r="A45" s="446" t="s">
        <v>37</v>
      </c>
      <c r="B45" s="438"/>
      <c r="C45" s="460"/>
      <c r="D45" s="460"/>
      <c r="E45" s="439"/>
      <c r="F45" s="438"/>
      <c r="G45" s="306"/>
    </row>
    <row r="46" spans="1:7" ht="18.75" customHeight="1">
      <c r="A46" s="461" t="s">
        <v>38</v>
      </c>
      <c r="B46" s="447" t="s">
        <v>32</v>
      </c>
      <c r="C46" s="447" t="s">
        <v>33</v>
      </c>
      <c r="D46" s="461" t="s">
        <v>19</v>
      </c>
      <c r="E46" s="447" t="s">
        <v>20</v>
      </c>
      <c r="F46" s="461" t="s">
        <v>21</v>
      </c>
      <c r="G46" s="306"/>
    </row>
    <row r="47" spans="1:7" ht="23.25" customHeight="1">
      <c r="A47" s="470" t="s">
        <v>389</v>
      </c>
      <c r="B47" s="471" t="s">
        <v>17</v>
      </c>
      <c r="C47" s="449">
        <v>10</v>
      </c>
      <c r="D47" s="449" t="s">
        <v>377</v>
      </c>
      <c r="E47" s="472">
        <v>20000</v>
      </c>
      <c r="F47" s="473">
        <f>C47*E47</f>
        <v>200000</v>
      </c>
      <c r="G47" s="306"/>
    </row>
    <row r="48" spans="1:7" ht="12" customHeight="1">
      <c r="A48" s="456" t="s">
        <v>39</v>
      </c>
      <c r="B48" s="457"/>
      <c r="C48" s="458"/>
      <c r="D48" s="458"/>
      <c r="E48" s="456"/>
      <c r="F48" s="459">
        <f>+F47</f>
        <v>200000</v>
      </c>
      <c r="G48" s="306"/>
    </row>
    <row r="49" spans="1:10" ht="24" customHeight="1">
      <c r="A49" s="444"/>
      <c r="B49" s="438"/>
      <c r="C49" s="460"/>
      <c r="D49" s="460"/>
      <c r="E49" s="439"/>
      <c r="F49" s="440"/>
      <c r="G49" s="306"/>
      <c r="J49" s="62"/>
    </row>
    <row r="50" spans="1:10" ht="12.75" customHeight="1">
      <c r="A50" s="474" t="s">
        <v>40</v>
      </c>
      <c r="B50" s="475"/>
      <c r="C50" s="476"/>
      <c r="D50" s="476"/>
      <c r="E50" s="477"/>
      <c r="F50" s="478">
        <f>+F25+F30+F43+F48</f>
        <v>4350085</v>
      </c>
      <c r="G50" s="306"/>
      <c r="J50" s="62"/>
    </row>
    <row r="51" spans="1:10" ht="12.75" customHeight="1">
      <c r="A51" s="479" t="s">
        <v>41</v>
      </c>
      <c r="B51" s="480"/>
      <c r="C51" s="481"/>
      <c r="D51" s="481"/>
      <c r="E51" s="482"/>
      <c r="F51" s="483">
        <f>F50*5%</f>
        <v>217504.25</v>
      </c>
      <c r="G51" s="306"/>
    </row>
    <row r="52" spans="1:10" ht="12.75" customHeight="1">
      <c r="A52" s="474" t="s">
        <v>42</v>
      </c>
      <c r="B52" s="475"/>
      <c r="C52" s="476"/>
      <c r="D52" s="476"/>
      <c r="E52" s="477"/>
      <c r="F52" s="478">
        <f>F50+F51</f>
        <v>4567589.25</v>
      </c>
      <c r="G52" s="306"/>
    </row>
    <row r="53" spans="1:10" ht="12.75" customHeight="1">
      <c r="A53" s="479" t="s">
        <v>43</v>
      </c>
      <c r="B53" s="480"/>
      <c r="C53" s="481"/>
      <c r="D53" s="481"/>
      <c r="E53" s="482"/>
      <c r="F53" s="483">
        <f>F11</f>
        <v>8500000</v>
      </c>
      <c r="G53" s="306"/>
    </row>
    <row r="54" spans="1:10" ht="12.75" customHeight="1">
      <c r="A54" s="474" t="s">
        <v>44</v>
      </c>
      <c r="B54" s="475"/>
      <c r="C54" s="476"/>
      <c r="D54" s="476"/>
      <c r="E54" s="477"/>
      <c r="F54" s="478">
        <f>F53-F52</f>
        <v>3932410.75</v>
      </c>
      <c r="G54" s="306"/>
    </row>
    <row r="55" spans="1:10" ht="11.25" customHeight="1">
      <c r="A55" s="197" t="s">
        <v>104</v>
      </c>
      <c r="B55" s="197"/>
      <c r="C55" s="197"/>
      <c r="D55" s="197"/>
      <c r="E55" s="197"/>
      <c r="F55" s="197"/>
    </row>
    <row r="56" spans="1:10" ht="11.25" customHeight="1" thickBot="1"/>
    <row r="57" spans="1:10" ht="11.25" customHeight="1">
      <c r="A57" s="48" t="s">
        <v>45</v>
      </c>
      <c r="B57" s="49"/>
      <c r="C57" s="49"/>
      <c r="D57" s="49"/>
      <c r="E57" s="50"/>
      <c r="F57" s="32"/>
    </row>
    <row r="58" spans="1:10" ht="11.25" customHeight="1">
      <c r="A58" s="51" t="s">
        <v>46</v>
      </c>
      <c r="B58" s="34"/>
      <c r="C58" s="34"/>
      <c r="D58" s="34"/>
      <c r="E58" s="52"/>
      <c r="F58" s="32"/>
    </row>
    <row r="59" spans="1:10" ht="11.25" customHeight="1">
      <c r="A59" s="51" t="s">
        <v>47</v>
      </c>
      <c r="B59" s="34"/>
      <c r="C59" s="34"/>
      <c r="D59" s="34"/>
      <c r="E59" s="52"/>
      <c r="F59" s="32"/>
    </row>
    <row r="60" spans="1:10" ht="11.25" customHeight="1">
      <c r="A60" s="51" t="s">
        <v>48</v>
      </c>
      <c r="B60" s="34"/>
      <c r="C60" s="34"/>
      <c r="D60" s="34"/>
      <c r="E60" s="52"/>
      <c r="F60" s="32"/>
    </row>
    <row r="61" spans="1:10" ht="11.25" customHeight="1">
      <c r="A61" s="51" t="s">
        <v>49</v>
      </c>
      <c r="B61" s="34"/>
      <c r="C61" s="34"/>
      <c r="D61" s="34"/>
      <c r="E61" s="52"/>
      <c r="F61" s="32"/>
    </row>
    <row r="62" spans="1:10" ht="11.25" customHeight="1">
      <c r="A62" s="51" t="s">
        <v>50</v>
      </c>
      <c r="B62" s="34"/>
      <c r="C62" s="34"/>
      <c r="D62" s="34"/>
      <c r="E62" s="52"/>
      <c r="F62" s="32"/>
    </row>
    <row r="63" spans="1:10" ht="11.25" customHeight="1" thickBot="1">
      <c r="A63" s="53" t="s">
        <v>51</v>
      </c>
      <c r="B63" s="54"/>
      <c r="C63" s="54"/>
      <c r="D63" s="54"/>
      <c r="E63" s="55"/>
      <c r="F63" s="32"/>
    </row>
    <row r="64" spans="1:10" ht="11.25" customHeight="1">
      <c r="A64" s="46"/>
      <c r="B64" s="34"/>
      <c r="C64" s="34"/>
      <c r="D64" s="34"/>
      <c r="E64" s="34"/>
      <c r="F64" s="32"/>
    </row>
    <row r="65" spans="1:6" ht="11.25" customHeight="1" thickBot="1">
      <c r="A65" s="561" t="s">
        <v>52</v>
      </c>
      <c r="B65" s="562"/>
      <c r="C65" s="45"/>
      <c r="D65" s="26"/>
      <c r="E65" s="26"/>
      <c r="F65" s="32"/>
    </row>
    <row r="66" spans="1:6" ht="11.25" customHeight="1">
      <c r="A66" s="38" t="s">
        <v>38</v>
      </c>
      <c r="B66" s="27" t="s">
        <v>53</v>
      </c>
      <c r="C66" s="39" t="s">
        <v>54</v>
      </c>
      <c r="D66" s="26"/>
      <c r="E66" s="26"/>
      <c r="F66" s="32"/>
    </row>
    <row r="67" spans="1:6" ht="11.25" customHeight="1">
      <c r="A67" s="40" t="s">
        <v>55</v>
      </c>
      <c r="B67" s="28">
        <f>F25</f>
        <v>3390000</v>
      </c>
      <c r="C67" s="41">
        <f>(B67/B73)</f>
        <v>0.74218582592556892</v>
      </c>
      <c r="D67" s="26"/>
      <c r="E67" s="26"/>
      <c r="F67" s="32"/>
    </row>
    <row r="68" spans="1:6" ht="11.25" customHeight="1">
      <c r="A68" s="40" t="s">
        <v>56</v>
      </c>
      <c r="B68" s="28">
        <v>0</v>
      </c>
      <c r="C68" s="41">
        <f>B68/B73</f>
        <v>0</v>
      </c>
      <c r="D68" s="26"/>
      <c r="E68" s="26"/>
      <c r="F68" s="32"/>
    </row>
    <row r="69" spans="1:6" ht="11.25" customHeight="1">
      <c r="A69" s="40" t="s">
        <v>57</v>
      </c>
      <c r="B69" s="28">
        <f>F30</f>
        <v>80000</v>
      </c>
      <c r="C69" s="41">
        <f>(B69/B73)</f>
        <v>1.751470975635561E-2</v>
      </c>
      <c r="D69" s="26"/>
      <c r="E69" s="26"/>
      <c r="F69" s="32"/>
    </row>
    <row r="70" spans="1:6" ht="11.25" customHeight="1">
      <c r="A70" s="40" t="s">
        <v>31</v>
      </c>
      <c r="B70" s="28">
        <f>F43</f>
        <v>680085</v>
      </c>
      <c r="C70" s="41">
        <f>(B70/B73)</f>
        <v>0.14889364230813881</v>
      </c>
      <c r="D70" s="26"/>
      <c r="E70" s="26"/>
      <c r="F70" s="32"/>
    </row>
    <row r="71" spans="1:6" ht="11.25" customHeight="1">
      <c r="A71" s="40" t="s">
        <v>58</v>
      </c>
      <c r="B71" s="29">
        <f>F48</f>
        <v>200000</v>
      </c>
      <c r="C71" s="41">
        <f>(B71/B73)</f>
        <v>4.3786774390889023E-2</v>
      </c>
      <c r="D71" s="31"/>
      <c r="E71" s="31"/>
      <c r="F71" s="32"/>
    </row>
    <row r="72" spans="1:6" ht="11.25" customHeight="1">
      <c r="A72" s="40" t="s">
        <v>59</v>
      </c>
      <c r="B72" s="29">
        <f>F51</f>
        <v>217504.25</v>
      </c>
      <c r="C72" s="41">
        <f>(B72/B73)</f>
        <v>4.7619047619047616E-2</v>
      </c>
      <c r="D72" s="31"/>
      <c r="E72" s="31"/>
      <c r="F72" s="32"/>
    </row>
    <row r="73" spans="1:6" ht="11.25" customHeight="1" thickBot="1">
      <c r="A73" s="42" t="s">
        <v>60</v>
      </c>
      <c r="B73" s="43">
        <f>SUM(B67:B72)</f>
        <v>4567589.25</v>
      </c>
      <c r="C73" s="44">
        <f>SUM(C67:C72)</f>
        <v>1</v>
      </c>
      <c r="D73" s="31"/>
      <c r="E73" s="31"/>
      <c r="F73" s="32"/>
    </row>
    <row r="74" spans="1:6" ht="11.25" customHeight="1">
      <c r="A74" s="36"/>
      <c r="B74" s="35"/>
      <c r="C74" s="35"/>
      <c r="D74" s="35"/>
      <c r="E74" s="35"/>
      <c r="F74" s="32"/>
    </row>
    <row r="75" spans="1:6" ht="11.25" customHeight="1">
      <c r="A75" s="37"/>
      <c r="B75" s="35"/>
      <c r="C75" s="35"/>
      <c r="D75" s="35"/>
      <c r="E75" s="35"/>
      <c r="F75" s="32"/>
    </row>
    <row r="76" spans="1:6" ht="11.25" customHeight="1" thickBot="1">
      <c r="A76" s="57"/>
      <c r="B76" s="58" t="s">
        <v>61</v>
      </c>
      <c r="C76" s="59"/>
      <c r="D76" s="60"/>
      <c r="E76" s="30"/>
      <c r="F76" s="32"/>
    </row>
    <row r="77" spans="1:6" ht="11.25" customHeight="1">
      <c r="A77" s="61" t="s">
        <v>308</v>
      </c>
      <c r="B77" s="99">
        <v>7000</v>
      </c>
      <c r="C77" s="99">
        <v>8500</v>
      </c>
      <c r="D77" s="326">
        <v>10000</v>
      </c>
      <c r="E77" s="56"/>
      <c r="F77" s="33"/>
    </row>
    <row r="78" spans="1:6" ht="11.25" customHeight="1" thickBot="1">
      <c r="A78" s="103" t="s">
        <v>312</v>
      </c>
      <c r="B78" s="101">
        <f>B73/B77</f>
        <v>652.51274999999998</v>
      </c>
      <c r="C78" s="101">
        <f>B73/C77</f>
        <v>537.36344117647059</v>
      </c>
      <c r="D78" s="341">
        <f>B73/D77</f>
        <v>456.75892499999998</v>
      </c>
      <c r="E78" s="56"/>
      <c r="F78" s="33"/>
    </row>
  </sheetData>
  <mergeCells count="9">
    <mergeCell ref="A16:F16"/>
    <mergeCell ref="A65:B65"/>
    <mergeCell ref="D11:E11"/>
    <mergeCell ref="D8:E8"/>
    <mergeCell ref="D9:E9"/>
    <mergeCell ref="D10:E10"/>
    <mergeCell ref="D12:E12"/>
    <mergeCell ref="D13:E13"/>
    <mergeCell ref="D14:E1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92"/>
  <sheetViews>
    <sheetView workbookViewId="0">
      <selection activeCell="B8" sqref="B8"/>
    </sheetView>
  </sheetViews>
  <sheetFormatPr baseColWidth="10" defaultColWidth="10.85546875" defaultRowHeight="11.25" customHeight="1"/>
  <cols>
    <col min="1" max="1" width="34.7109375" style="1" customWidth="1"/>
    <col min="2" max="2" width="19.42578125" style="1" customWidth="1"/>
    <col min="3" max="3" width="9.42578125" style="1" customWidth="1"/>
    <col min="4" max="4" width="17.7109375" style="1" customWidth="1"/>
    <col min="5" max="5" width="11" style="1" customWidth="1"/>
    <col min="6" max="6" width="12.42578125" style="1" customWidth="1"/>
    <col min="7" max="254" width="10.85546875" style="1" customWidth="1"/>
  </cols>
  <sheetData>
    <row r="1" spans="1:6" ht="15" customHeight="1">
      <c r="A1" s="2"/>
      <c r="B1" s="2"/>
      <c r="C1" s="2"/>
      <c r="D1" s="2"/>
      <c r="E1" s="2"/>
      <c r="F1" s="2"/>
    </row>
    <row r="2" spans="1:6" ht="15" customHeight="1">
      <c r="A2" s="2"/>
      <c r="B2" s="2"/>
      <c r="C2" s="2"/>
      <c r="D2" s="2"/>
      <c r="E2" s="2"/>
      <c r="F2" s="2"/>
    </row>
    <row r="3" spans="1:6" ht="15" customHeight="1">
      <c r="A3" s="2"/>
      <c r="B3" s="2"/>
      <c r="C3" s="2"/>
      <c r="D3" s="2"/>
      <c r="E3" s="2"/>
      <c r="F3" s="2"/>
    </row>
    <row r="4" spans="1:6" ht="15" customHeight="1">
      <c r="A4" s="2"/>
      <c r="B4" s="2"/>
      <c r="C4" s="2"/>
      <c r="D4" s="2"/>
      <c r="E4" s="2"/>
      <c r="F4" s="2"/>
    </row>
    <row r="5" spans="1:6" ht="15" customHeight="1">
      <c r="A5" s="2"/>
      <c r="B5" s="2"/>
      <c r="C5" s="2"/>
      <c r="D5" s="2"/>
      <c r="E5" s="2"/>
      <c r="F5" s="2"/>
    </row>
    <row r="6" spans="1:6" ht="15" customHeight="1">
      <c r="A6" s="2"/>
      <c r="B6" s="2"/>
      <c r="C6" s="2"/>
      <c r="D6" s="2"/>
      <c r="E6" s="2"/>
      <c r="F6" s="2"/>
    </row>
    <row r="7" spans="1:6" ht="15" customHeight="1">
      <c r="A7" s="3"/>
      <c r="B7" s="4"/>
      <c r="C7" s="2"/>
      <c r="D7" s="4"/>
      <c r="E7" s="4"/>
      <c r="F7" s="4"/>
    </row>
    <row r="8" spans="1:6" ht="12" customHeight="1">
      <c r="A8" s="5" t="s">
        <v>0</v>
      </c>
      <c r="B8" s="300" t="s">
        <v>109</v>
      </c>
      <c r="C8" s="6"/>
      <c r="D8" s="565" t="s">
        <v>67</v>
      </c>
      <c r="E8" s="566"/>
      <c r="F8" s="7">
        <v>30</v>
      </c>
    </row>
    <row r="9" spans="1:6" ht="38.25" customHeight="1">
      <c r="A9" s="8" t="s">
        <v>1</v>
      </c>
      <c r="B9" s="9" t="s">
        <v>64</v>
      </c>
      <c r="C9" s="10"/>
      <c r="D9" s="563" t="s">
        <v>2</v>
      </c>
      <c r="E9" s="564"/>
      <c r="F9" s="11" t="s">
        <v>110</v>
      </c>
    </row>
    <row r="10" spans="1:6" ht="18" customHeight="1">
      <c r="A10" s="8" t="s">
        <v>3</v>
      </c>
      <c r="B10" s="11" t="s">
        <v>4</v>
      </c>
      <c r="C10" s="10"/>
      <c r="D10" s="563" t="s">
        <v>105</v>
      </c>
      <c r="E10" s="564"/>
      <c r="F10" s="12">
        <v>240000</v>
      </c>
    </row>
    <row r="11" spans="1:6" ht="11.25" customHeight="1">
      <c r="A11" s="8" t="s">
        <v>5</v>
      </c>
      <c r="B11" s="13" t="s">
        <v>65</v>
      </c>
      <c r="C11" s="10"/>
      <c r="D11" s="63" t="s">
        <v>6</v>
      </c>
      <c r="E11" s="64"/>
      <c r="F11" s="16">
        <f>(F8*F10)</f>
        <v>7200000</v>
      </c>
    </row>
    <row r="12" spans="1:6" ht="11.25" customHeight="1">
      <c r="A12" s="8" t="s">
        <v>7</v>
      </c>
      <c r="B12" s="11" t="s">
        <v>66</v>
      </c>
      <c r="C12" s="10"/>
      <c r="D12" s="563" t="s">
        <v>8</v>
      </c>
      <c r="E12" s="564"/>
      <c r="F12" s="11" t="s">
        <v>69</v>
      </c>
    </row>
    <row r="13" spans="1:6" ht="13.5" customHeight="1">
      <c r="A13" s="8" t="s">
        <v>9</v>
      </c>
      <c r="B13" s="11" t="s">
        <v>66</v>
      </c>
      <c r="C13" s="10"/>
      <c r="D13" s="563" t="s">
        <v>10</v>
      </c>
      <c r="E13" s="564"/>
      <c r="F13" s="11" t="s">
        <v>114</v>
      </c>
    </row>
    <row r="14" spans="1:6" ht="25.5" customHeight="1">
      <c r="A14" s="8" t="s">
        <v>11</v>
      </c>
      <c r="B14" s="17">
        <v>44197</v>
      </c>
      <c r="C14" s="10"/>
      <c r="D14" s="567" t="s">
        <v>12</v>
      </c>
      <c r="E14" s="568"/>
      <c r="F14" s="13" t="s">
        <v>13</v>
      </c>
    </row>
    <row r="15" spans="1:6" ht="12" customHeight="1">
      <c r="A15" s="18"/>
      <c r="B15" s="19"/>
      <c r="C15" s="20"/>
      <c r="D15" s="21"/>
      <c r="E15" s="21"/>
      <c r="F15" s="22"/>
    </row>
    <row r="16" spans="1:6" ht="12" customHeight="1">
      <c r="A16" s="569" t="s">
        <v>14</v>
      </c>
      <c r="B16" s="570"/>
      <c r="C16" s="570"/>
      <c r="D16" s="570"/>
      <c r="E16" s="570"/>
      <c r="F16" s="570"/>
    </row>
    <row r="17" spans="1:6" ht="12" customHeight="1">
      <c r="A17" s="23"/>
      <c r="B17" s="24"/>
      <c r="C17" s="24"/>
      <c r="D17" s="24"/>
      <c r="E17" s="25"/>
      <c r="F17" s="25"/>
    </row>
    <row r="18" spans="1:6" ht="12" customHeight="1">
      <c r="A18" s="65" t="s">
        <v>15</v>
      </c>
      <c r="B18" s="66"/>
      <c r="C18" s="66"/>
      <c r="D18" s="66"/>
      <c r="E18" s="66"/>
      <c r="F18" s="66"/>
    </row>
    <row r="19" spans="1:6" ht="24" customHeight="1">
      <c r="A19" s="67" t="s">
        <v>16</v>
      </c>
      <c r="B19" s="67" t="s">
        <v>17</v>
      </c>
      <c r="C19" s="67" t="s">
        <v>18</v>
      </c>
      <c r="D19" s="67" t="s">
        <v>19</v>
      </c>
      <c r="E19" s="67" t="s">
        <v>20</v>
      </c>
      <c r="F19" s="67" t="s">
        <v>21</v>
      </c>
    </row>
    <row r="20" spans="1:6" ht="12.75" customHeight="1">
      <c r="A20" s="68" t="s">
        <v>70</v>
      </c>
      <c r="B20" s="69" t="s">
        <v>22</v>
      </c>
      <c r="C20" s="69">
        <v>3</v>
      </c>
      <c r="D20" s="69" t="s">
        <v>28</v>
      </c>
      <c r="E20" s="70">
        <v>15000</v>
      </c>
      <c r="F20" s="70">
        <f>C20*E20</f>
        <v>45000</v>
      </c>
    </row>
    <row r="21" spans="1:6" ht="25.5" customHeight="1">
      <c r="A21" s="71" t="s">
        <v>71</v>
      </c>
      <c r="B21" s="72" t="s">
        <v>22</v>
      </c>
      <c r="C21" s="73">
        <v>1</v>
      </c>
      <c r="D21" s="73" t="s">
        <v>72</v>
      </c>
      <c r="E21" s="70">
        <v>15000</v>
      </c>
      <c r="F21" s="74">
        <f>E21*C21</f>
        <v>15000</v>
      </c>
    </row>
    <row r="22" spans="1:6" ht="12.75" customHeight="1">
      <c r="A22" s="71" t="s">
        <v>73</v>
      </c>
      <c r="B22" s="72" t="s">
        <v>22</v>
      </c>
      <c r="C22" s="73">
        <v>8</v>
      </c>
      <c r="D22" s="73" t="s">
        <v>72</v>
      </c>
      <c r="E22" s="70">
        <v>15000</v>
      </c>
      <c r="F22" s="74">
        <f>E22*C22</f>
        <v>120000</v>
      </c>
    </row>
    <row r="23" spans="1:6" ht="12.75" customHeight="1">
      <c r="A23" s="75" t="s">
        <v>74</v>
      </c>
      <c r="B23" s="72" t="s">
        <v>22</v>
      </c>
      <c r="C23" s="73">
        <v>2</v>
      </c>
      <c r="D23" s="73" t="s">
        <v>29</v>
      </c>
      <c r="E23" s="70">
        <v>15000</v>
      </c>
      <c r="F23" s="74">
        <f>E23*C23</f>
        <v>30000</v>
      </c>
    </row>
    <row r="24" spans="1:6" ht="12" customHeight="1">
      <c r="A24" s="75" t="s">
        <v>75</v>
      </c>
      <c r="B24" s="72" t="s">
        <v>22</v>
      </c>
      <c r="C24" s="73">
        <v>2</v>
      </c>
      <c r="D24" s="73" t="s">
        <v>29</v>
      </c>
      <c r="E24" s="70">
        <v>15000</v>
      </c>
      <c r="F24" s="74">
        <f>E24*C24</f>
        <v>30000</v>
      </c>
    </row>
    <row r="25" spans="1:6" ht="12" customHeight="1">
      <c r="A25" s="75" t="s">
        <v>76</v>
      </c>
      <c r="B25" s="72" t="s">
        <v>77</v>
      </c>
      <c r="C25" s="73">
        <v>1200</v>
      </c>
      <c r="D25" s="73" t="s">
        <v>78</v>
      </c>
      <c r="E25" s="70">
        <v>800</v>
      </c>
      <c r="F25" s="74">
        <f>E25*C25</f>
        <v>960000</v>
      </c>
    </row>
    <row r="26" spans="1:6" ht="24" customHeight="1">
      <c r="A26" s="65" t="s">
        <v>23</v>
      </c>
      <c r="B26" s="76"/>
      <c r="C26" s="76"/>
      <c r="D26" s="76"/>
      <c r="E26" s="65"/>
      <c r="F26" s="77">
        <f>SUM(F20:F25)</f>
        <v>1200000</v>
      </c>
    </row>
    <row r="27" spans="1:6" ht="12" customHeight="1">
      <c r="A27" s="66"/>
      <c r="B27" s="78"/>
      <c r="C27" s="78"/>
      <c r="D27" s="78"/>
      <c r="E27" s="66"/>
      <c r="F27" s="66"/>
    </row>
    <row r="28" spans="1:6" ht="12" customHeight="1">
      <c r="A28" s="65" t="s">
        <v>24</v>
      </c>
      <c r="B28" s="78"/>
      <c r="C28" s="78"/>
      <c r="D28" s="78"/>
      <c r="E28" s="66"/>
      <c r="F28" s="66"/>
    </row>
    <row r="29" spans="1:6" ht="12" customHeight="1">
      <c r="A29" s="76" t="s">
        <v>16</v>
      </c>
      <c r="B29" s="67" t="s">
        <v>17</v>
      </c>
      <c r="C29" s="67" t="s">
        <v>18</v>
      </c>
      <c r="D29" s="76" t="s">
        <v>19</v>
      </c>
      <c r="E29" s="67" t="s">
        <v>20</v>
      </c>
      <c r="F29" s="76" t="s">
        <v>21</v>
      </c>
    </row>
    <row r="30" spans="1:6" ht="12" customHeight="1">
      <c r="A30" s="68" t="s">
        <v>79</v>
      </c>
      <c r="B30" s="69" t="s">
        <v>63</v>
      </c>
      <c r="C30" s="69">
        <v>3</v>
      </c>
      <c r="D30" s="69" t="s">
        <v>28</v>
      </c>
      <c r="E30" s="70">
        <v>20000</v>
      </c>
      <c r="F30" s="70">
        <f>C30*E30</f>
        <v>60000</v>
      </c>
    </row>
    <row r="31" spans="1:6" ht="24" customHeight="1">
      <c r="A31" s="68" t="s">
        <v>80</v>
      </c>
      <c r="B31" s="69" t="s">
        <v>63</v>
      </c>
      <c r="C31" s="69">
        <v>1</v>
      </c>
      <c r="D31" s="69" t="s">
        <v>72</v>
      </c>
      <c r="E31" s="70">
        <v>20000</v>
      </c>
      <c r="F31" s="70">
        <f>C31*E31</f>
        <v>20000</v>
      </c>
    </row>
    <row r="32" spans="1:6" ht="12.75" customHeight="1">
      <c r="A32" s="68" t="s">
        <v>81</v>
      </c>
      <c r="B32" s="69" t="s">
        <v>63</v>
      </c>
      <c r="C32" s="69">
        <v>1</v>
      </c>
      <c r="D32" s="69" t="s">
        <v>72</v>
      </c>
      <c r="E32" s="70">
        <v>20000</v>
      </c>
      <c r="F32" s="70">
        <f>C32*E32</f>
        <v>20000</v>
      </c>
    </row>
    <row r="33" spans="1:6" ht="12.75" customHeight="1">
      <c r="A33" s="79" t="s">
        <v>74</v>
      </c>
      <c r="B33" s="80" t="s">
        <v>63</v>
      </c>
      <c r="C33" s="80">
        <v>2</v>
      </c>
      <c r="D33" s="80" t="s">
        <v>29</v>
      </c>
      <c r="E33" s="70">
        <v>20000</v>
      </c>
      <c r="F33" s="81">
        <f>C33*E33</f>
        <v>40000</v>
      </c>
    </row>
    <row r="34" spans="1:6" ht="12.75" customHeight="1">
      <c r="A34" s="82" t="s">
        <v>82</v>
      </c>
      <c r="B34" s="80" t="s">
        <v>63</v>
      </c>
      <c r="C34" s="83">
        <v>5</v>
      </c>
      <c r="D34" s="83" t="s">
        <v>83</v>
      </c>
      <c r="E34" s="70">
        <v>20000</v>
      </c>
      <c r="F34" s="81">
        <f>C34*E34</f>
        <v>100000</v>
      </c>
    </row>
    <row r="35" spans="1:6" ht="12.75" customHeight="1">
      <c r="A35" s="65" t="s">
        <v>25</v>
      </c>
      <c r="B35" s="76"/>
      <c r="C35" s="76"/>
      <c r="D35" s="76"/>
      <c r="E35" s="77"/>
      <c r="F35" s="77">
        <f>SUM(F30:F34)</f>
        <v>240000</v>
      </c>
    </row>
    <row r="36" spans="1:6" ht="12.75" customHeight="1">
      <c r="A36" s="66"/>
      <c r="B36" s="78"/>
      <c r="C36" s="78"/>
      <c r="D36" s="78"/>
      <c r="E36" s="66"/>
      <c r="F36" s="66"/>
    </row>
    <row r="37" spans="1:6" ht="12.75" customHeight="1">
      <c r="A37" s="65" t="s">
        <v>26</v>
      </c>
      <c r="B37" s="78"/>
      <c r="C37" s="78"/>
      <c r="D37" s="78"/>
      <c r="E37" s="66"/>
      <c r="F37" s="66"/>
    </row>
    <row r="38" spans="1:6" ht="25.5" customHeight="1">
      <c r="A38" s="76" t="s">
        <v>16</v>
      </c>
      <c r="B38" s="76" t="s">
        <v>17</v>
      </c>
      <c r="C38" s="76" t="s">
        <v>18</v>
      </c>
      <c r="D38" s="76" t="s">
        <v>19</v>
      </c>
      <c r="E38" s="67" t="s">
        <v>20</v>
      </c>
      <c r="F38" s="76" t="s">
        <v>21</v>
      </c>
    </row>
    <row r="39" spans="1:6" ht="25.5" customHeight="1">
      <c r="A39" s="68" t="s">
        <v>27</v>
      </c>
      <c r="B39" s="69" t="s">
        <v>84</v>
      </c>
      <c r="C39" s="69">
        <v>4</v>
      </c>
      <c r="D39" s="69" t="s">
        <v>85</v>
      </c>
      <c r="E39" s="70">
        <v>22000</v>
      </c>
      <c r="F39" s="70">
        <f>(C39*E39)*1.19</f>
        <v>104720</v>
      </c>
    </row>
    <row r="40" spans="1:6" ht="25.5" customHeight="1">
      <c r="A40" s="79" t="s">
        <v>86</v>
      </c>
      <c r="B40" s="80" t="s">
        <v>84</v>
      </c>
      <c r="C40" s="80">
        <v>3</v>
      </c>
      <c r="D40" s="80" t="s">
        <v>87</v>
      </c>
      <c r="E40" s="81">
        <v>22000</v>
      </c>
      <c r="F40" s="70">
        <f>(C40*E40)*1.19</f>
        <v>78540</v>
      </c>
    </row>
    <row r="41" spans="1:6" ht="12.75" customHeight="1">
      <c r="A41" s="65" t="s">
        <v>88</v>
      </c>
      <c r="B41" s="76"/>
      <c r="C41" s="76"/>
      <c r="D41" s="76"/>
      <c r="E41" s="77"/>
      <c r="F41" s="77">
        <f>F39+F40</f>
        <v>183260</v>
      </c>
    </row>
    <row r="42" spans="1:6" ht="12.75" customHeight="1">
      <c r="A42" s="66"/>
      <c r="B42" s="78"/>
      <c r="C42" s="78"/>
      <c r="D42" s="78"/>
      <c r="E42" s="66"/>
      <c r="F42" s="66"/>
    </row>
    <row r="43" spans="1:6" ht="12.75" customHeight="1">
      <c r="A43" s="65" t="s">
        <v>30</v>
      </c>
      <c r="B43" s="78"/>
      <c r="C43" s="78"/>
      <c r="D43" s="78"/>
      <c r="E43" s="66"/>
      <c r="F43" s="66"/>
    </row>
    <row r="44" spans="1:6" ht="25.5" customHeight="1">
      <c r="A44" s="67" t="s">
        <v>31</v>
      </c>
      <c r="B44" s="67" t="s">
        <v>32</v>
      </c>
      <c r="C44" s="67" t="s">
        <v>33</v>
      </c>
      <c r="D44" s="67" t="s">
        <v>19</v>
      </c>
      <c r="E44" s="67" t="s">
        <v>20</v>
      </c>
      <c r="F44" s="67" t="s">
        <v>21</v>
      </c>
    </row>
    <row r="45" spans="1:6" ht="12.75" customHeight="1">
      <c r="A45" s="84" t="s">
        <v>89</v>
      </c>
      <c r="B45" s="85"/>
      <c r="C45" s="85"/>
      <c r="D45" s="85"/>
      <c r="E45" s="83"/>
      <c r="F45" s="85"/>
    </row>
    <row r="46" spans="1:6" ht="12.75" customHeight="1">
      <c r="A46" s="84" t="s">
        <v>90</v>
      </c>
      <c r="B46" s="83" t="s">
        <v>91</v>
      </c>
      <c r="C46" s="83">
        <v>2</v>
      </c>
      <c r="D46" s="83" t="s">
        <v>72</v>
      </c>
      <c r="E46" s="83">
        <v>12000</v>
      </c>
      <c r="F46" s="86">
        <f>(C46*E46)*1.19</f>
        <v>28560</v>
      </c>
    </row>
    <row r="47" spans="1:6" ht="12" customHeight="1">
      <c r="A47" s="82" t="s">
        <v>92</v>
      </c>
      <c r="B47" s="83" t="s">
        <v>93</v>
      </c>
      <c r="C47" s="83">
        <v>1</v>
      </c>
      <c r="D47" s="80" t="s">
        <v>94</v>
      </c>
      <c r="E47" s="87">
        <v>12900</v>
      </c>
      <c r="F47" s="88">
        <f>(E47*C47)*1.19</f>
        <v>15351</v>
      </c>
    </row>
    <row r="48" spans="1:6" ht="12" customHeight="1">
      <c r="A48" s="84" t="s">
        <v>95</v>
      </c>
      <c r="B48" s="89"/>
      <c r="C48" s="89"/>
      <c r="D48" s="80"/>
      <c r="E48" s="90"/>
      <c r="F48" s="88"/>
    </row>
    <row r="49" spans="1:10" ht="24" customHeight="1">
      <c r="A49" s="82" t="s">
        <v>96</v>
      </c>
      <c r="B49" s="83" t="s">
        <v>93</v>
      </c>
      <c r="C49" s="83">
        <v>4</v>
      </c>
      <c r="D49" s="80" t="s">
        <v>97</v>
      </c>
      <c r="E49" s="87">
        <v>15000</v>
      </c>
      <c r="F49" s="88">
        <f>(E49*C49)*1.19</f>
        <v>71400</v>
      </c>
      <c r="J49" s="62"/>
    </row>
    <row r="50" spans="1:10" ht="12.75" customHeight="1">
      <c r="A50" s="82" t="s">
        <v>98</v>
      </c>
      <c r="B50" s="83" t="s">
        <v>35</v>
      </c>
      <c r="C50" s="83">
        <v>2200</v>
      </c>
      <c r="D50" s="80" t="s">
        <v>72</v>
      </c>
      <c r="E50" s="72">
        <v>250</v>
      </c>
      <c r="F50" s="88">
        <f>(E50*C50)*1.19</f>
        <v>654500</v>
      </c>
      <c r="J50" s="62"/>
    </row>
    <row r="51" spans="1:10" ht="12.75" customHeight="1">
      <c r="A51" s="82" t="s">
        <v>34</v>
      </c>
      <c r="B51" s="83"/>
      <c r="C51" s="83"/>
      <c r="D51" s="80"/>
      <c r="E51" s="72"/>
      <c r="F51" s="88"/>
    </row>
    <row r="52" spans="1:10" ht="12.75" customHeight="1">
      <c r="A52" s="82" t="s">
        <v>99</v>
      </c>
      <c r="B52" s="83" t="s">
        <v>35</v>
      </c>
      <c r="C52" s="83">
        <v>1100</v>
      </c>
      <c r="D52" s="80" t="s">
        <v>100</v>
      </c>
      <c r="E52" s="72">
        <v>400</v>
      </c>
      <c r="F52" s="88">
        <f>(E52*C52)*1.19</f>
        <v>523600</v>
      </c>
    </row>
    <row r="53" spans="1:10" ht="12.75" customHeight="1">
      <c r="A53" s="82" t="s">
        <v>37</v>
      </c>
      <c r="B53" s="83"/>
      <c r="C53" s="83"/>
      <c r="D53" s="83"/>
      <c r="E53" s="72"/>
      <c r="F53" s="88"/>
    </row>
    <row r="54" spans="1:10" ht="12.75" customHeight="1">
      <c r="A54" s="82" t="s">
        <v>101</v>
      </c>
      <c r="B54" s="83" t="s">
        <v>102</v>
      </c>
      <c r="C54" s="83">
        <v>1200</v>
      </c>
      <c r="D54" s="83" t="s">
        <v>103</v>
      </c>
      <c r="E54" s="72">
        <v>180</v>
      </c>
      <c r="F54" s="88">
        <f>(E54*C54)*1.19</f>
        <v>257040</v>
      </c>
    </row>
    <row r="55" spans="1:10" ht="12.75" customHeight="1">
      <c r="A55" s="65" t="s">
        <v>36</v>
      </c>
      <c r="B55" s="76"/>
      <c r="C55" s="76"/>
      <c r="D55" s="76"/>
      <c r="E55" s="65"/>
      <c r="F55" s="77">
        <f>SUM(F46:F54)</f>
        <v>1550451</v>
      </c>
    </row>
    <row r="56" spans="1:10" ht="12.75" customHeight="1">
      <c r="A56" s="91"/>
      <c r="B56" s="78"/>
      <c r="C56" s="78"/>
      <c r="D56" s="78"/>
      <c r="E56" s="66"/>
      <c r="F56" s="91"/>
    </row>
    <row r="57" spans="1:10" ht="12.75" customHeight="1">
      <c r="A57" s="65" t="s">
        <v>37</v>
      </c>
      <c r="B57" s="78"/>
      <c r="C57" s="78"/>
      <c r="D57" s="78"/>
      <c r="E57" s="66"/>
      <c r="F57" s="66"/>
    </row>
    <row r="58" spans="1:10" ht="26.25" customHeight="1">
      <c r="A58" s="76" t="s">
        <v>38</v>
      </c>
      <c r="B58" s="67" t="s">
        <v>32</v>
      </c>
      <c r="C58" s="67" t="s">
        <v>33</v>
      </c>
      <c r="D58" s="76" t="s">
        <v>19</v>
      </c>
      <c r="E58" s="67" t="s">
        <v>20</v>
      </c>
      <c r="F58" s="76" t="s">
        <v>21</v>
      </c>
    </row>
    <row r="59" spans="1:10" ht="12.75" customHeight="1">
      <c r="A59" s="68"/>
      <c r="B59" s="69"/>
      <c r="C59" s="69"/>
      <c r="D59" s="69"/>
      <c r="E59" s="70"/>
      <c r="F59" s="70">
        <v>0</v>
      </c>
    </row>
    <row r="60" spans="1:10" ht="13.5" customHeight="1">
      <c r="A60" s="65" t="s">
        <v>39</v>
      </c>
      <c r="B60" s="76"/>
      <c r="C60" s="76"/>
      <c r="D60" s="76"/>
      <c r="E60" s="65"/>
      <c r="F60" s="77">
        <f>F59</f>
        <v>0</v>
      </c>
    </row>
    <row r="61" spans="1:10" ht="12" customHeight="1">
      <c r="A61" s="91"/>
      <c r="B61" s="78"/>
      <c r="C61" s="78"/>
      <c r="D61" s="78"/>
      <c r="E61" s="66"/>
      <c r="F61" s="91"/>
    </row>
    <row r="62" spans="1:10" ht="12" customHeight="1">
      <c r="A62" s="92" t="s">
        <v>40</v>
      </c>
      <c r="B62" s="93"/>
      <c r="C62" s="93"/>
      <c r="D62" s="93"/>
      <c r="E62" s="92"/>
      <c r="F62" s="94">
        <f>F26+F35+F41+F55+F60</f>
        <v>3173711</v>
      </c>
    </row>
    <row r="63" spans="1:10" ht="24" customHeight="1">
      <c r="A63" s="92" t="s">
        <v>41</v>
      </c>
      <c r="B63" s="93"/>
      <c r="C63" s="93"/>
      <c r="D63" s="93"/>
      <c r="E63" s="92"/>
      <c r="F63" s="94">
        <f>F62*5%</f>
        <v>158685.55000000002</v>
      </c>
    </row>
    <row r="64" spans="1:10" ht="12.75" customHeight="1">
      <c r="A64" s="92" t="s">
        <v>42</v>
      </c>
      <c r="B64" s="93"/>
      <c r="C64" s="93"/>
      <c r="D64" s="93"/>
      <c r="E64" s="92"/>
      <c r="F64" s="94">
        <f>SUM(F62:F63)</f>
        <v>3332396.55</v>
      </c>
    </row>
    <row r="65" spans="1:6" ht="19.5" customHeight="1">
      <c r="A65" s="92" t="s">
        <v>43</v>
      </c>
      <c r="B65" s="93"/>
      <c r="C65" s="93"/>
      <c r="D65" s="93"/>
      <c r="E65" s="92"/>
      <c r="F65" s="94">
        <f>F11</f>
        <v>7200000</v>
      </c>
    </row>
    <row r="66" spans="1:6" ht="13.5" customHeight="1">
      <c r="A66" s="92" t="s">
        <v>44</v>
      </c>
      <c r="B66" s="93"/>
      <c r="C66" s="93"/>
      <c r="D66" s="93"/>
      <c r="E66" s="92"/>
      <c r="F66" s="94">
        <f>F65-F64</f>
        <v>3867603.45</v>
      </c>
    </row>
    <row r="67" spans="1:6" ht="12" customHeight="1">
      <c r="A67" s="95" t="s">
        <v>104</v>
      </c>
      <c r="B67" s="95"/>
      <c r="C67" s="95"/>
      <c r="D67" s="95"/>
      <c r="E67" s="95"/>
      <c r="F67" s="95"/>
    </row>
    <row r="68" spans="1:6" ht="12.75" customHeight="1" thickBot="1">
      <c r="A68" s="36"/>
      <c r="B68" s="35"/>
      <c r="C68" s="35"/>
      <c r="D68" s="35"/>
      <c r="E68" s="35"/>
      <c r="F68" s="32"/>
    </row>
    <row r="69" spans="1:6" ht="12" customHeight="1">
      <c r="A69" s="48" t="s">
        <v>45</v>
      </c>
      <c r="B69" s="49"/>
      <c r="C69" s="49"/>
      <c r="D69" s="49"/>
      <c r="E69" s="50"/>
      <c r="F69" s="32"/>
    </row>
    <row r="70" spans="1:6" ht="12" customHeight="1">
      <c r="A70" s="51" t="s">
        <v>46</v>
      </c>
      <c r="B70" s="34"/>
      <c r="C70" s="34"/>
      <c r="D70" s="34"/>
      <c r="E70" s="52"/>
      <c r="F70" s="32"/>
    </row>
    <row r="71" spans="1:6" ht="12" customHeight="1">
      <c r="A71" s="51" t="s">
        <v>47</v>
      </c>
      <c r="B71" s="34"/>
      <c r="C71" s="34"/>
      <c r="D71" s="34"/>
      <c r="E71" s="52"/>
      <c r="F71" s="32"/>
    </row>
    <row r="72" spans="1:6" ht="12" customHeight="1">
      <c r="A72" s="51" t="s">
        <v>48</v>
      </c>
      <c r="B72" s="34"/>
      <c r="C72" s="34"/>
      <c r="D72" s="34"/>
      <c r="E72" s="52"/>
      <c r="F72" s="32"/>
    </row>
    <row r="73" spans="1:6" ht="12" customHeight="1">
      <c r="A73" s="51" t="s">
        <v>49</v>
      </c>
      <c r="B73" s="34"/>
      <c r="C73" s="34"/>
      <c r="D73" s="34"/>
      <c r="E73" s="52"/>
      <c r="F73" s="32"/>
    </row>
    <row r="74" spans="1:6" ht="12" customHeight="1">
      <c r="A74" s="51" t="s">
        <v>50</v>
      </c>
      <c r="B74" s="34"/>
      <c r="C74" s="34"/>
      <c r="D74" s="34"/>
      <c r="E74" s="52"/>
      <c r="F74" s="32"/>
    </row>
    <row r="75" spans="1:6" ht="12.75" customHeight="1" thickBot="1">
      <c r="A75" s="53" t="s">
        <v>51</v>
      </c>
      <c r="B75" s="54"/>
      <c r="C75" s="54"/>
      <c r="D75" s="54"/>
      <c r="E75" s="55"/>
      <c r="F75" s="32"/>
    </row>
    <row r="76" spans="1:6" ht="12.75" customHeight="1">
      <c r="A76" s="46"/>
      <c r="B76" s="34"/>
      <c r="C76" s="34"/>
      <c r="D76" s="34"/>
      <c r="E76" s="34"/>
      <c r="F76" s="32"/>
    </row>
    <row r="77" spans="1:6" ht="15" customHeight="1" thickBot="1">
      <c r="A77" s="561" t="s">
        <v>52</v>
      </c>
      <c r="B77" s="562"/>
      <c r="C77" s="45"/>
      <c r="D77" s="26"/>
      <c r="E77" s="26"/>
      <c r="F77" s="32"/>
    </row>
    <row r="78" spans="1:6" ht="12" customHeight="1">
      <c r="A78" s="38" t="s">
        <v>38</v>
      </c>
      <c r="B78" s="27" t="s">
        <v>53</v>
      </c>
      <c r="C78" s="39" t="s">
        <v>54</v>
      </c>
      <c r="D78" s="26"/>
      <c r="E78" s="26"/>
      <c r="F78" s="32"/>
    </row>
    <row r="79" spans="1:6" ht="12" customHeight="1">
      <c r="A79" s="40" t="s">
        <v>55</v>
      </c>
      <c r="B79" s="28">
        <f>F26</f>
        <v>1200000</v>
      </c>
      <c r="C79" s="41">
        <f>(B79/B85)</f>
        <v>0.3601012010410346</v>
      </c>
      <c r="D79" s="26"/>
      <c r="E79" s="26"/>
      <c r="F79" s="32"/>
    </row>
    <row r="80" spans="1:6" ht="12" customHeight="1">
      <c r="A80" s="40" t="s">
        <v>56</v>
      </c>
      <c r="B80" s="28">
        <f>F35</f>
        <v>240000</v>
      </c>
      <c r="C80" s="41">
        <f>B80/B85</f>
        <v>7.2020240208206923E-2</v>
      </c>
      <c r="D80" s="26"/>
      <c r="E80" s="26"/>
      <c r="F80" s="32"/>
    </row>
    <row r="81" spans="1:6" ht="12" customHeight="1">
      <c r="A81" s="40" t="s">
        <v>57</v>
      </c>
      <c r="B81" s="28">
        <f>F41</f>
        <v>183260</v>
      </c>
      <c r="C81" s="41">
        <f>(B81/B85)</f>
        <v>5.4993455085649998E-2</v>
      </c>
      <c r="D81" s="26"/>
      <c r="E81" s="26"/>
      <c r="F81" s="32"/>
    </row>
    <row r="82" spans="1:6" ht="12" customHeight="1">
      <c r="A82" s="40" t="s">
        <v>31</v>
      </c>
      <c r="B82" s="28">
        <f>F55</f>
        <v>1550451</v>
      </c>
      <c r="C82" s="41">
        <f>(B82/B85)</f>
        <v>0.46526605604606092</v>
      </c>
      <c r="D82" s="26"/>
      <c r="E82" s="26"/>
      <c r="F82" s="32"/>
    </row>
    <row r="83" spans="1:6" ht="12" customHeight="1">
      <c r="A83" s="40" t="s">
        <v>58</v>
      </c>
      <c r="B83" s="29">
        <f>F59</f>
        <v>0</v>
      </c>
      <c r="C83" s="41">
        <f>(B83/B85)</f>
        <v>0</v>
      </c>
      <c r="D83" s="31"/>
      <c r="E83" s="31"/>
      <c r="F83" s="32"/>
    </row>
    <row r="84" spans="1:6" ht="12" customHeight="1">
      <c r="A84" s="40" t="s">
        <v>59</v>
      </c>
      <c r="B84" s="29">
        <f>F63</f>
        <v>158685.55000000002</v>
      </c>
      <c r="C84" s="41">
        <f>(B84/B85)</f>
        <v>4.761904761904763E-2</v>
      </c>
      <c r="D84" s="31"/>
      <c r="E84" s="31"/>
      <c r="F84" s="32"/>
    </row>
    <row r="85" spans="1:6" ht="12.75" customHeight="1" thickBot="1">
      <c r="A85" s="42" t="s">
        <v>60</v>
      </c>
      <c r="B85" s="43">
        <f>SUM(B79:B84)</f>
        <v>3332396.55</v>
      </c>
      <c r="C85" s="44">
        <f>SUM(C79:C84)</f>
        <v>1</v>
      </c>
      <c r="D85" s="31"/>
      <c r="E85" s="31"/>
      <c r="F85" s="32"/>
    </row>
    <row r="86" spans="1:6" ht="12" customHeight="1">
      <c r="A86" s="36"/>
      <c r="B86" s="35"/>
      <c r="C86" s="35"/>
      <c r="D86" s="35"/>
      <c r="E86" s="35"/>
      <c r="F86" s="32"/>
    </row>
    <row r="87" spans="1:6" ht="12.75" customHeight="1">
      <c r="A87" s="37"/>
      <c r="B87" s="35"/>
      <c r="C87" s="35"/>
      <c r="D87" s="35"/>
      <c r="E87" s="35"/>
      <c r="F87" s="32"/>
    </row>
    <row r="88" spans="1:6" ht="12" customHeight="1" thickBot="1">
      <c r="A88" s="57"/>
      <c r="B88" s="58" t="s">
        <v>61</v>
      </c>
      <c r="C88" s="59"/>
      <c r="D88" s="60"/>
      <c r="E88" s="30"/>
      <c r="F88" s="32"/>
    </row>
    <row r="89" spans="1:6" ht="12" customHeight="1">
      <c r="A89" s="61" t="s">
        <v>107</v>
      </c>
      <c r="B89" s="99">
        <v>20</v>
      </c>
      <c r="C89" s="99">
        <v>25</v>
      </c>
      <c r="D89" s="100">
        <v>30</v>
      </c>
      <c r="E89" s="56"/>
      <c r="F89" s="33"/>
    </row>
    <row r="90" spans="1:6" ht="12.75" customHeight="1" thickBot="1">
      <c r="A90" s="98" t="s">
        <v>106</v>
      </c>
      <c r="B90" s="101">
        <f>+$F$64/B89</f>
        <v>166619.82749999998</v>
      </c>
      <c r="C90" s="101">
        <f t="shared" ref="C90:D90" si="0">+$F$64/C89</f>
        <v>133295.86199999999</v>
      </c>
      <c r="D90" s="101">
        <f t="shared" si="0"/>
        <v>111079.88499999999</v>
      </c>
      <c r="E90" s="56"/>
      <c r="F90" s="33"/>
    </row>
    <row r="91" spans="1:6" ht="20.25" customHeight="1" thickBot="1">
      <c r="A91" s="102" t="s">
        <v>108</v>
      </c>
      <c r="B91" s="101">
        <f>25*B90/1000</f>
        <v>4165.4956874999998</v>
      </c>
      <c r="C91" s="101">
        <f t="shared" ref="C91:D91" si="1">25*C90/1000</f>
        <v>3332.3965499999999</v>
      </c>
      <c r="D91" s="101">
        <f t="shared" si="1"/>
        <v>2776.9971249999999</v>
      </c>
      <c r="E91" s="56"/>
      <c r="F91" s="33"/>
    </row>
    <row r="92" spans="1:6" ht="15.6" customHeight="1">
      <c r="A92" s="47" t="s">
        <v>62</v>
      </c>
      <c r="B92" s="34"/>
      <c r="C92" s="34"/>
      <c r="D92" s="34"/>
      <c r="E92" s="34"/>
      <c r="F92" s="34"/>
    </row>
  </sheetData>
  <mergeCells count="8">
    <mergeCell ref="A16:F16"/>
    <mergeCell ref="A77:B77"/>
    <mergeCell ref="D8:E8"/>
    <mergeCell ref="D9:E9"/>
    <mergeCell ref="D10:E10"/>
    <mergeCell ref="D12:E12"/>
    <mergeCell ref="D13:E13"/>
    <mergeCell ref="D14:E1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88"/>
  <sheetViews>
    <sheetView workbookViewId="0">
      <selection activeCell="B8" sqref="B8"/>
    </sheetView>
  </sheetViews>
  <sheetFormatPr baseColWidth="10" defaultColWidth="10.85546875" defaultRowHeight="11.25" customHeight="1"/>
  <cols>
    <col min="1" max="1" width="34.7109375" style="1" customWidth="1"/>
    <col min="2" max="2" width="19.42578125" style="1" customWidth="1"/>
    <col min="3" max="3" width="9.42578125" style="1" customWidth="1"/>
    <col min="4" max="4" width="17.7109375" style="1" customWidth="1"/>
    <col min="5" max="5" width="11" style="1" customWidth="1"/>
    <col min="6" max="6" width="15.140625" style="1" customWidth="1"/>
    <col min="7" max="254" width="10.85546875" style="1" customWidth="1"/>
  </cols>
  <sheetData>
    <row r="1" spans="1:6" ht="15" customHeight="1">
      <c r="A1" s="2"/>
      <c r="B1" s="2"/>
      <c r="C1" s="2"/>
      <c r="D1" s="2"/>
      <c r="E1" s="2"/>
      <c r="F1" s="2"/>
    </row>
    <row r="2" spans="1:6" ht="15" customHeight="1">
      <c r="A2" s="2"/>
      <c r="B2" s="2"/>
      <c r="C2" s="2"/>
      <c r="D2" s="2"/>
      <c r="E2" s="2"/>
      <c r="F2" s="2"/>
    </row>
    <row r="3" spans="1:6" ht="15" customHeight="1">
      <c r="A3" s="2"/>
      <c r="B3" s="2"/>
      <c r="C3" s="2"/>
      <c r="D3" s="2"/>
      <c r="E3" s="2"/>
      <c r="F3" s="2"/>
    </row>
    <row r="4" spans="1:6" ht="15" customHeight="1">
      <c r="A4" s="2"/>
      <c r="B4" s="2"/>
      <c r="C4" s="2"/>
      <c r="D4" s="2"/>
      <c r="E4" s="2"/>
      <c r="F4" s="2"/>
    </row>
    <row r="5" spans="1:6" ht="15" customHeight="1">
      <c r="A5" s="2"/>
      <c r="B5" s="2"/>
      <c r="C5" s="2"/>
      <c r="D5" s="2"/>
      <c r="E5" s="2"/>
      <c r="F5" s="2"/>
    </row>
    <row r="6" spans="1:6" ht="15" customHeight="1">
      <c r="A6" s="2"/>
      <c r="B6" s="2"/>
      <c r="C6" s="2"/>
      <c r="D6" s="2"/>
      <c r="E6" s="2"/>
      <c r="F6" s="2"/>
    </row>
    <row r="7" spans="1:6" ht="15" customHeight="1">
      <c r="A7" s="3"/>
      <c r="B7" s="4"/>
      <c r="C7" s="2"/>
      <c r="D7" s="4"/>
      <c r="E7" s="4"/>
      <c r="F7" s="4"/>
    </row>
    <row r="8" spans="1:6" ht="12" customHeight="1">
      <c r="A8" s="5" t="s">
        <v>0</v>
      </c>
      <c r="B8" s="300" t="s">
        <v>111</v>
      </c>
      <c r="C8" s="6"/>
      <c r="D8" s="565" t="s">
        <v>67</v>
      </c>
      <c r="E8" s="566"/>
      <c r="F8" s="7">
        <v>15</v>
      </c>
    </row>
    <row r="9" spans="1:6" ht="38.25" customHeight="1">
      <c r="A9" s="8" t="s">
        <v>1</v>
      </c>
      <c r="B9" s="9" t="s">
        <v>64</v>
      </c>
      <c r="C9" s="10"/>
      <c r="D9" s="563" t="s">
        <v>2</v>
      </c>
      <c r="E9" s="564"/>
      <c r="F9" s="11" t="s">
        <v>112</v>
      </c>
    </row>
    <row r="10" spans="1:6" ht="18" customHeight="1">
      <c r="A10" s="8" t="s">
        <v>3</v>
      </c>
      <c r="B10" s="11" t="s">
        <v>4</v>
      </c>
      <c r="C10" s="10"/>
      <c r="D10" s="563" t="s">
        <v>105</v>
      </c>
      <c r="E10" s="564"/>
      <c r="F10" s="134">
        <v>400000</v>
      </c>
    </row>
    <row r="11" spans="1:6" ht="11.25" customHeight="1">
      <c r="A11" s="8" t="s">
        <v>5</v>
      </c>
      <c r="B11" s="13" t="s">
        <v>65</v>
      </c>
      <c r="C11" s="10"/>
      <c r="D11" s="63" t="s">
        <v>6</v>
      </c>
      <c r="E11" s="64"/>
      <c r="F11" s="16">
        <f>(F8*F10)</f>
        <v>6000000</v>
      </c>
    </row>
    <row r="12" spans="1:6" ht="11.25" customHeight="1">
      <c r="A12" s="8" t="s">
        <v>7</v>
      </c>
      <c r="B12" s="11" t="s">
        <v>66</v>
      </c>
      <c r="C12" s="10"/>
      <c r="D12" s="563" t="s">
        <v>8</v>
      </c>
      <c r="E12" s="564"/>
      <c r="F12" s="11" t="s">
        <v>69</v>
      </c>
    </row>
    <row r="13" spans="1:6" ht="13.5" customHeight="1">
      <c r="A13" s="8" t="s">
        <v>9</v>
      </c>
      <c r="B13" s="11" t="s">
        <v>66</v>
      </c>
      <c r="C13" s="10"/>
      <c r="D13" s="563" t="s">
        <v>10</v>
      </c>
      <c r="E13" s="564"/>
      <c r="F13" s="11" t="s">
        <v>113</v>
      </c>
    </row>
    <row r="14" spans="1:6" ht="25.5" customHeight="1">
      <c r="A14" s="8" t="s">
        <v>11</v>
      </c>
      <c r="B14" s="17">
        <v>44197</v>
      </c>
      <c r="C14" s="10"/>
      <c r="D14" s="567" t="s">
        <v>12</v>
      </c>
      <c r="E14" s="568"/>
      <c r="F14" s="13" t="s">
        <v>13</v>
      </c>
    </row>
    <row r="15" spans="1:6" ht="12" customHeight="1">
      <c r="A15" s="18"/>
      <c r="B15" s="19"/>
      <c r="C15" s="20"/>
      <c r="D15" s="21"/>
      <c r="E15" s="21"/>
      <c r="F15" s="22"/>
    </row>
    <row r="16" spans="1:6" ht="12" customHeight="1">
      <c r="A16" s="569" t="s">
        <v>14</v>
      </c>
      <c r="B16" s="570"/>
      <c r="C16" s="570"/>
      <c r="D16" s="570"/>
      <c r="E16" s="570"/>
      <c r="F16" s="570"/>
    </row>
    <row r="17" spans="1:6" ht="12" customHeight="1">
      <c r="A17" s="23"/>
      <c r="B17" s="24"/>
      <c r="C17" s="24"/>
      <c r="D17" s="24"/>
      <c r="E17" s="25"/>
      <c r="F17" s="25"/>
    </row>
    <row r="18" spans="1:6" ht="12" customHeight="1">
      <c r="A18" s="128" t="s">
        <v>15</v>
      </c>
      <c r="B18" s="108"/>
      <c r="C18" s="108"/>
      <c r="D18" s="108"/>
      <c r="E18" s="108"/>
      <c r="F18" s="108"/>
    </row>
    <row r="19" spans="1:6" ht="24" customHeight="1">
      <c r="A19" s="127" t="s">
        <v>16</v>
      </c>
      <c r="B19" s="127" t="s">
        <v>17</v>
      </c>
      <c r="C19" s="127" t="s">
        <v>18</v>
      </c>
      <c r="D19" s="127" t="s">
        <v>19</v>
      </c>
      <c r="E19" s="127" t="s">
        <v>20</v>
      </c>
      <c r="F19" s="127" t="s">
        <v>21</v>
      </c>
    </row>
    <row r="20" spans="1:6" ht="12.75" customHeight="1">
      <c r="A20" s="115" t="s">
        <v>73</v>
      </c>
      <c r="B20" s="106" t="s">
        <v>22</v>
      </c>
      <c r="C20" s="110">
        <v>6</v>
      </c>
      <c r="D20" s="110" t="s">
        <v>115</v>
      </c>
      <c r="E20" s="111">
        <v>15000</v>
      </c>
      <c r="F20" s="116">
        <v>90000</v>
      </c>
    </row>
    <row r="21" spans="1:6" ht="25.5" customHeight="1">
      <c r="A21" s="117" t="s">
        <v>74</v>
      </c>
      <c r="B21" s="106" t="s">
        <v>22</v>
      </c>
      <c r="C21" s="110">
        <v>2</v>
      </c>
      <c r="D21" s="110" t="s">
        <v>116</v>
      </c>
      <c r="E21" s="111">
        <v>15000</v>
      </c>
      <c r="F21" s="116">
        <v>30000</v>
      </c>
    </row>
    <row r="22" spans="1:6" ht="12.75" customHeight="1">
      <c r="A22" s="117" t="s">
        <v>75</v>
      </c>
      <c r="B22" s="106" t="s">
        <v>22</v>
      </c>
      <c r="C22" s="110">
        <v>2</v>
      </c>
      <c r="D22" s="110" t="s">
        <v>117</v>
      </c>
      <c r="E22" s="111">
        <v>15000</v>
      </c>
      <c r="F22" s="116">
        <v>30000</v>
      </c>
    </row>
    <row r="23" spans="1:6" ht="12.75" customHeight="1">
      <c r="A23" s="117" t="s">
        <v>118</v>
      </c>
      <c r="B23" s="106" t="s">
        <v>22</v>
      </c>
      <c r="C23" s="110">
        <v>25</v>
      </c>
      <c r="D23" s="110" t="s">
        <v>119</v>
      </c>
      <c r="E23" s="111">
        <v>15000</v>
      </c>
      <c r="F23" s="116">
        <v>375000</v>
      </c>
    </row>
    <row r="24" spans="1:6" ht="12" customHeight="1">
      <c r="A24" s="128" t="s">
        <v>23</v>
      </c>
      <c r="B24" s="129"/>
      <c r="C24" s="129"/>
      <c r="D24" s="129"/>
      <c r="E24" s="128"/>
      <c r="F24" s="130">
        <v>525000</v>
      </c>
    </row>
    <row r="25" spans="1:6" ht="12" customHeight="1">
      <c r="A25" s="108"/>
      <c r="B25" s="112"/>
      <c r="C25" s="112"/>
      <c r="D25" s="112"/>
      <c r="E25" s="108"/>
      <c r="F25" s="108"/>
    </row>
    <row r="26" spans="1:6" ht="24" customHeight="1">
      <c r="A26" s="128" t="s">
        <v>24</v>
      </c>
      <c r="B26" s="112"/>
      <c r="C26" s="112"/>
      <c r="D26" s="112"/>
      <c r="E26" s="108"/>
      <c r="F26" s="108"/>
    </row>
    <row r="27" spans="1:6" ht="12" customHeight="1">
      <c r="A27" s="129" t="s">
        <v>16</v>
      </c>
      <c r="B27" s="127" t="s">
        <v>17</v>
      </c>
      <c r="C27" s="127" t="s">
        <v>18</v>
      </c>
      <c r="D27" s="129" t="s">
        <v>19</v>
      </c>
      <c r="E27" s="127" t="s">
        <v>20</v>
      </c>
      <c r="F27" s="129" t="s">
        <v>21</v>
      </c>
    </row>
    <row r="28" spans="1:6" ht="12" customHeight="1">
      <c r="A28" s="113" t="s">
        <v>120</v>
      </c>
      <c r="B28" s="118" t="s">
        <v>63</v>
      </c>
      <c r="C28" s="118">
        <v>1</v>
      </c>
      <c r="D28" s="118" t="s">
        <v>72</v>
      </c>
      <c r="E28" s="119">
        <v>20000</v>
      </c>
      <c r="F28" s="119">
        <v>20000</v>
      </c>
    </row>
    <row r="29" spans="1:6" ht="12" customHeight="1">
      <c r="A29" s="120" t="s">
        <v>74</v>
      </c>
      <c r="B29" s="121" t="s">
        <v>63</v>
      </c>
      <c r="C29" s="121">
        <v>2</v>
      </c>
      <c r="D29" s="121" t="s">
        <v>121</v>
      </c>
      <c r="E29" s="122">
        <v>20000</v>
      </c>
      <c r="F29" s="122">
        <v>40000</v>
      </c>
    </row>
    <row r="30" spans="1:6" ht="12" customHeight="1">
      <c r="A30" s="123" t="s">
        <v>122</v>
      </c>
      <c r="B30" s="121" t="s">
        <v>63</v>
      </c>
      <c r="C30" s="104">
        <v>4</v>
      </c>
      <c r="D30" s="104" t="s">
        <v>119</v>
      </c>
      <c r="E30" s="119">
        <v>20000</v>
      </c>
      <c r="F30" s="122">
        <v>80000</v>
      </c>
    </row>
    <row r="31" spans="1:6" ht="24" customHeight="1">
      <c r="A31" s="128" t="s">
        <v>25</v>
      </c>
      <c r="B31" s="129"/>
      <c r="C31" s="129"/>
      <c r="D31" s="129"/>
      <c r="E31" s="130"/>
      <c r="F31" s="130">
        <v>140000</v>
      </c>
    </row>
    <row r="32" spans="1:6" ht="12.75" customHeight="1">
      <c r="A32" s="108"/>
      <c r="B32" s="112"/>
      <c r="C32" s="112"/>
      <c r="D32" s="112"/>
      <c r="E32" s="108"/>
      <c r="F32" s="108"/>
    </row>
    <row r="33" spans="1:6" ht="12.75" customHeight="1">
      <c r="A33" s="128" t="s">
        <v>26</v>
      </c>
      <c r="B33" s="112"/>
      <c r="C33" s="112"/>
      <c r="D33" s="112"/>
      <c r="E33" s="108"/>
      <c r="F33" s="108"/>
    </row>
    <row r="34" spans="1:6" ht="12.75" customHeight="1">
      <c r="A34" s="129" t="s">
        <v>16</v>
      </c>
      <c r="B34" s="129" t="s">
        <v>17</v>
      </c>
      <c r="C34" s="129" t="s">
        <v>18</v>
      </c>
      <c r="D34" s="129" t="s">
        <v>19</v>
      </c>
      <c r="E34" s="127" t="s">
        <v>20</v>
      </c>
      <c r="F34" s="129" t="s">
        <v>21</v>
      </c>
    </row>
    <row r="35" spans="1:6" ht="12.75" customHeight="1">
      <c r="A35" s="113" t="s">
        <v>123</v>
      </c>
      <c r="B35" s="118" t="s">
        <v>84</v>
      </c>
      <c r="C35" s="118">
        <v>3</v>
      </c>
      <c r="D35" s="113" t="s">
        <v>124</v>
      </c>
      <c r="E35" s="119">
        <v>25000</v>
      </c>
      <c r="F35" s="119">
        <v>89250</v>
      </c>
    </row>
    <row r="36" spans="1:6" ht="12.75" customHeight="1">
      <c r="A36" s="120" t="s">
        <v>86</v>
      </c>
      <c r="B36" s="121" t="s">
        <v>84</v>
      </c>
      <c r="C36" s="121">
        <v>2</v>
      </c>
      <c r="D36" s="121" t="s">
        <v>125</v>
      </c>
      <c r="E36" s="122">
        <v>25000</v>
      </c>
      <c r="F36" s="119">
        <v>59500</v>
      </c>
    </row>
    <row r="37" spans="1:6" ht="12.75" customHeight="1">
      <c r="A37" s="128" t="s">
        <v>88</v>
      </c>
      <c r="B37" s="129"/>
      <c r="C37" s="129"/>
      <c r="D37" s="129"/>
      <c r="E37" s="130"/>
      <c r="F37" s="130">
        <v>148750</v>
      </c>
    </row>
    <row r="38" spans="1:6" ht="25.5" customHeight="1">
      <c r="A38" s="108"/>
      <c r="B38" s="112"/>
      <c r="C38" s="112"/>
      <c r="D38" s="112"/>
      <c r="E38" s="108"/>
      <c r="F38" s="108"/>
    </row>
    <row r="39" spans="1:6" ht="25.5" customHeight="1">
      <c r="A39" s="128" t="s">
        <v>30</v>
      </c>
      <c r="B39" s="112"/>
      <c r="C39" s="112"/>
      <c r="D39" s="112"/>
      <c r="E39" s="108"/>
      <c r="F39" s="108"/>
    </row>
    <row r="40" spans="1:6" ht="25.5" customHeight="1">
      <c r="A40" s="127" t="s">
        <v>31</v>
      </c>
      <c r="B40" s="127" t="s">
        <v>32</v>
      </c>
      <c r="C40" s="127" t="s">
        <v>33</v>
      </c>
      <c r="D40" s="127" t="s">
        <v>19</v>
      </c>
      <c r="E40" s="127" t="s">
        <v>20</v>
      </c>
      <c r="F40" s="127" t="s">
        <v>21</v>
      </c>
    </row>
    <row r="41" spans="1:6" ht="12.75" customHeight="1">
      <c r="A41" s="124" t="s">
        <v>89</v>
      </c>
      <c r="B41" s="125"/>
      <c r="C41" s="125"/>
      <c r="D41" s="125"/>
      <c r="E41" s="114"/>
      <c r="F41" s="116"/>
    </row>
    <row r="42" spans="1:6" ht="12.75" customHeight="1">
      <c r="A42" s="124" t="s">
        <v>90</v>
      </c>
      <c r="B42" s="104" t="s">
        <v>91</v>
      </c>
      <c r="C42" s="104">
        <v>2</v>
      </c>
      <c r="D42" s="104" t="s">
        <v>126</v>
      </c>
      <c r="E42" s="107">
        <v>12000</v>
      </c>
      <c r="F42" s="114">
        <f>(E42*C42)*1.19</f>
        <v>28560</v>
      </c>
    </row>
    <row r="43" spans="1:6" ht="12.75" customHeight="1">
      <c r="A43" s="123" t="s">
        <v>92</v>
      </c>
      <c r="B43" s="104" t="s">
        <v>93</v>
      </c>
      <c r="C43" s="104">
        <v>1</v>
      </c>
      <c r="D43" s="121" t="s">
        <v>127</v>
      </c>
      <c r="E43" s="107">
        <v>12900</v>
      </c>
      <c r="F43" s="114">
        <f t="shared" ref="F43:F50" si="0">(E43*C43)*1.19</f>
        <v>15351</v>
      </c>
    </row>
    <row r="44" spans="1:6" ht="25.5" customHeight="1">
      <c r="A44" s="124" t="s">
        <v>95</v>
      </c>
      <c r="B44" s="105"/>
      <c r="C44" s="105"/>
      <c r="D44" s="121"/>
      <c r="E44" s="126"/>
      <c r="F44" s="114">
        <f t="shared" si="0"/>
        <v>0</v>
      </c>
    </row>
    <row r="45" spans="1:6" ht="12.75" customHeight="1">
      <c r="A45" s="123" t="s">
        <v>96</v>
      </c>
      <c r="B45" s="104" t="s">
        <v>93</v>
      </c>
      <c r="C45" s="104">
        <v>3</v>
      </c>
      <c r="D45" s="121" t="s">
        <v>117</v>
      </c>
      <c r="E45" s="107">
        <v>18000</v>
      </c>
      <c r="F45" s="114">
        <f t="shared" si="0"/>
        <v>64260</v>
      </c>
    </row>
    <row r="46" spans="1:6" ht="12.75" customHeight="1">
      <c r="A46" s="123" t="s">
        <v>98</v>
      </c>
      <c r="B46" s="104" t="s">
        <v>35</v>
      </c>
      <c r="C46" s="104">
        <v>2200</v>
      </c>
      <c r="D46" s="121" t="s">
        <v>128</v>
      </c>
      <c r="E46" s="114">
        <v>250</v>
      </c>
      <c r="F46" s="114">
        <f t="shared" si="0"/>
        <v>654500</v>
      </c>
    </row>
    <row r="47" spans="1:6" ht="12" customHeight="1">
      <c r="A47" s="123" t="s">
        <v>34</v>
      </c>
      <c r="B47" s="104"/>
      <c r="C47" s="104"/>
      <c r="D47" s="121"/>
      <c r="E47" s="114"/>
      <c r="F47" s="114">
        <f t="shared" si="0"/>
        <v>0</v>
      </c>
    </row>
    <row r="48" spans="1:6" ht="12" customHeight="1">
      <c r="A48" s="123" t="s">
        <v>99</v>
      </c>
      <c r="B48" s="104" t="s">
        <v>35</v>
      </c>
      <c r="C48" s="104">
        <v>900</v>
      </c>
      <c r="D48" s="121" t="s">
        <v>115</v>
      </c>
      <c r="E48" s="114">
        <v>400</v>
      </c>
      <c r="F48" s="114">
        <f t="shared" si="0"/>
        <v>428400</v>
      </c>
    </row>
    <row r="49" spans="1:10" ht="24" customHeight="1">
      <c r="A49" s="123" t="s">
        <v>37</v>
      </c>
      <c r="B49" s="104"/>
      <c r="C49" s="104"/>
      <c r="D49" s="104"/>
      <c r="E49" s="114"/>
      <c r="F49" s="114">
        <f t="shared" si="0"/>
        <v>0</v>
      </c>
      <c r="J49" s="62"/>
    </row>
    <row r="50" spans="1:10" ht="12.75" customHeight="1">
      <c r="A50" s="123" t="s">
        <v>101</v>
      </c>
      <c r="B50" s="104" t="s">
        <v>102</v>
      </c>
      <c r="C50" s="104">
        <v>600</v>
      </c>
      <c r="D50" s="104" t="s">
        <v>119</v>
      </c>
      <c r="E50" s="114">
        <v>180</v>
      </c>
      <c r="F50" s="114">
        <f t="shared" si="0"/>
        <v>128520</v>
      </c>
      <c r="J50" s="62"/>
    </row>
    <row r="51" spans="1:10" ht="12.75" customHeight="1">
      <c r="A51" s="128" t="s">
        <v>36</v>
      </c>
      <c r="B51" s="129"/>
      <c r="C51" s="129"/>
      <c r="D51" s="129"/>
      <c r="E51" s="128"/>
      <c r="F51" s="130">
        <v>1129191</v>
      </c>
    </row>
    <row r="52" spans="1:10" ht="12.75" customHeight="1">
      <c r="A52" s="109"/>
      <c r="B52" s="112"/>
      <c r="C52" s="112"/>
      <c r="D52" s="112"/>
      <c r="E52" s="108"/>
      <c r="F52" s="109"/>
    </row>
    <row r="53" spans="1:10" ht="12.75" customHeight="1">
      <c r="A53" s="128" t="s">
        <v>37</v>
      </c>
      <c r="B53" s="112"/>
      <c r="C53" s="112"/>
      <c r="D53" s="112"/>
      <c r="E53" s="108"/>
      <c r="F53" s="108"/>
    </row>
    <row r="54" spans="1:10" ht="27" customHeight="1">
      <c r="A54" s="129" t="s">
        <v>38</v>
      </c>
      <c r="B54" s="127" t="s">
        <v>32</v>
      </c>
      <c r="C54" s="127" t="s">
        <v>33</v>
      </c>
      <c r="D54" s="129" t="s">
        <v>19</v>
      </c>
      <c r="E54" s="127" t="s">
        <v>20</v>
      </c>
      <c r="F54" s="129" t="s">
        <v>21</v>
      </c>
    </row>
    <row r="55" spans="1:10" ht="12.75" customHeight="1">
      <c r="A55" s="113"/>
      <c r="B55" s="118"/>
      <c r="C55" s="118"/>
      <c r="D55" s="118"/>
      <c r="E55" s="119"/>
      <c r="F55" s="119">
        <v>0</v>
      </c>
    </row>
    <row r="56" spans="1:10" ht="12.75" customHeight="1">
      <c r="A56" s="128" t="s">
        <v>39</v>
      </c>
      <c r="B56" s="129"/>
      <c r="C56" s="129"/>
      <c r="D56" s="129"/>
      <c r="E56" s="128"/>
      <c r="F56" s="130">
        <v>0</v>
      </c>
    </row>
    <row r="57" spans="1:10" ht="12.75" customHeight="1">
      <c r="A57" s="109"/>
      <c r="B57" s="112"/>
      <c r="C57" s="112"/>
      <c r="D57" s="112"/>
      <c r="E57" s="108"/>
      <c r="F57" s="109"/>
    </row>
    <row r="58" spans="1:10" ht="21" customHeight="1">
      <c r="A58" s="131" t="s">
        <v>40</v>
      </c>
      <c r="B58" s="132"/>
      <c r="C58" s="132"/>
      <c r="D58" s="132"/>
      <c r="E58" s="131"/>
      <c r="F58" s="133">
        <f>F24+F31+F37+F51</f>
        <v>1942941</v>
      </c>
    </row>
    <row r="59" spans="1:10" ht="12.75" customHeight="1">
      <c r="A59" s="131" t="s">
        <v>41</v>
      </c>
      <c r="B59" s="132"/>
      <c r="C59" s="132"/>
      <c r="D59" s="132"/>
      <c r="E59" s="131"/>
      <c r="F59" s="133">
        <f>F58*5%</f>
        <v>97147.05</v>
      </c>
    </row>
    <row r="60" spans="1:10" ht="13.5" customHeight="1">
      <c r="A60" s="131" t="s">
        <v>42</v>
      </c>
      <c r="B60" s="132"/>
      <c r="C60" s="132"/>
      <c r="D60" s="132"/>
      <c r="E60" s="131"/>
      <c r="F60" s="133">
        <v>2040088.05</v>
      </c>
    </row>
    <row r="61" spans="1:10" ht="12" customHeight="1">
      <c r="A61" s="131" t="s">
        <v>43</v>
      </c>
      <c r="B61" s="132"/>
      <c r="C61" s="132"/>
      <c r="D61" s="132"/>
      <c r="E61" s="131"/>
      <c r="F61" s="133">
        <f>F11</f>
        <v>6000000</v>
      </c>
    </row>
    <row r="62" spans="1:10" ht="12" customHeight="1">
      <c r="A62" s="131" t="s">
        <v>44</v>
      </c>
      <c r="B62" s="132"/>
      <c r="C62" s="132"/>
      <c r="D62" s="132"/>
      <c r="E62" s="131"/>
      <c r="F62" s="133">
        <f>F61-F60</f>
        <v>3959911.95</v>
      </c>
    </row>
    <row r="63" spans="1:10" ht="12" customHeight="1">
      <c r="A63" s="95" t="s">
        <v>104</v>
      </c>
      <c r="B63" s="95"/>
      <c r="C63" s="95"/>
      <c r="D63" s="95"/>
      <c r="E63" s="95"/>
      <c r="F63" s="95"/>
    </row>
    <row r="64" spans="1:10" ht="12.75" customHeight="1" thickBot="1">
      <c r="A64" s="36"/>
      <c r="B64" s="35"/>
      <c r="C64" s="35"/>
      <c r="D64" s="35"/>
      <c r="E64" s="35"/>
      <c r="F64" s="32"/>
    </row>
    <row r="65" spans="1:6" ht="12" customHeight="1">
      <c r="A65" s="48" t="s">
        <v>45</v>
      </c>
      <c r="B65" s="49"/>
      <c r="C65" s="49"/>
      <c r="D65" s="49"/>
      <c r="E65" s="50"/>
      <c r="F65" s="32"/>
    </row>
    <row r="66" spans="1:6" ht="12" customHeight="1">
      <c r="A66" s="51" t="s">
        <v>46</v>
      </c>
      <c r="B66" s="34"/>
      <c r="C66" s="34"/>
      <c r="D66" s="34"/>
      <c r="E66" s="52"/>
      <c r="F66" s="32"/>
    </row>
    <row r="67" spans="1:6" ht="12" customHeight="1">
      <c r="A67" s="51" t="s">
        <v>47</v>
      </c>
      <c r="B67" s="34"/>
      <c r="C67" s="34"/>
      <c r="D67" s="34"/>
      <c r="E67" s="52"/>
      <c r="F67" s="32"/>
    </row>
    <row r="68" spans="1:6" ht="12" customHeight="1">
      <c r="A68" s="51" t="s">
        <v>48</v>
      </c>
      <c r="B68" s="34"/>
      <c r="C68" s="34"/>
      <c r="D68" s="34"/>
      <c r="E68" s="52"/>
      <c r="F68" s="32"/>
    </row>
    <row r="69" spans="1:6" ht="12" customHeight="1">
      <c r="A69" s="51" t="s">
        <v>49</v>
      </c>
      <c r="B69" s="34"/>
      <c r="C69" s="34"/>
      <c r="D69" s="34"/>
      <c r="E69" s="52"/>
      <c r="F69" s="32"/>
    </row>
    <row r="70" spans="1:6" ht="12" customHeight="1">
      <c r="A70" s="51" t="s">
        <v>50</v>
      </c>
      <c r="B70" s="34"/>
      <c r="C70" s="34"/>
      <c r="D70" s="34"/>
      <c r="E70" s="52"/>
      <c r="F70" s="32"/>
    </row>
    <row r="71" spans="1:6" ht="12.75" customHeight="1" thickBot="1">
      <c r="A71" s="53" t="s">
        <v>51</v>
      </c>
      <c r="B71" s="54"/>
      <c r="C71" s="54"/>
      <c r="D71" s="54"/>
      <c r="E71" s="55"/>
      <c r="F71" s="32"/>
    </row>
    <row r="72" spans="1:6" ht="12.75" customHeight="1">
      <c r="A72" s="46"/>
      <c r="B72" s="34"/>
      <c r="C72" s="34"/>
      <c r="D72" s="34"/>
      <c r="E72" s="34"/>
      <c r="F72" s="32"/>
    </row>
    <row r="73" spans="1:6" ht="15" customHeight="1" thickBot="1">
      <c r="A73" s="561" t="s">
        <v>52</v>
      </c>
      <c r="B73" s="562"/>
      <c r="C73" s="45"/>
      <c r="D73" s="26"/>
      <c r="E73" s="26"/>
      <c r="F73" s="32"/>
    </row>
    <row r="74" spans="1:6" ht="12" customHeight="1">
      <c r="A74" s="38" t="s">
        <v>38</v>
      </c>
      <c r="B74" s="27" t="s">
        <v>53</v>
      </c>
      <c r="C74" s="39" t="s">
        <v>54</v>
      </c>
      <c r="D74" s="26"/>
      <c r="E74" s="26"/>
      <c r="F74" s="32"/>
    </row>
    <row r="75" spans="1:6" ht="12" customHeight="1">
      <c r="A75" s="40" t="s">
        <v>55</v>
      </c>
      <c r="B75" s="28">
        <f>F24</f>
        <v>525000</v>
      </c>
      <c r="C75" s="41">
        <f>$B$75/B81</f>
        <v>0.257341833848789</v>
      </c>
      <c r="D75" s="26"/>
      <c r="E75" s="26"/>
      <c r="F75" s="32"/>
    </row>
    <row r="76" spans="1:6" ht="12" customHeight="1">
      <c r="A76" s="40" t="s">
        <v>56</v>
      </c>
      <c r="B76" s="28">
        <f>F31</f>
        <v>140000</v>
      </c>
      <c r="C76" s="41">
        <f>B76/B81</f>
        <v>6.8624489026343743E-2</v>
      </c>
      <c r="D76" s="26"/>
      <c r="E76" s="26"/>
      <c r="F76" s="32"/>
    </row>
    <row r="77" spans="1:6" ht="12" customHeight="1">
      <c r="A77" s="40" t="s">
        <v>57</v>
      </c>
      <c r="B77" s="28">
        <f>F37</f>
        <v>148750</v>
      </c>
      <c r="C77" s="41">
        <f>B77/B81</f>
        <v>7.2913519590490222E-2</v>
      </c>
      <c r="D77" s="26"/>
      <c r="E77" s="26"/>
      <c r="F77" s="32"/>
    </row>
    <row r="78" spans="1:6" ht="12" customHeight="1">
      <c r="A78" s="40" t="s">
        <v>31</v>
      </c>
      <c r="B78" s="28">
        <f>F51</f>
        <v>1129191</v>
      </c>
      <c r="C78" s="41">
        <f>B78/B81</f>
        <v>0.55350110991532941</v>
      </c>
      <c r="D78" s="26"/>
      <c r="E78" s="26"/>
      <c r="F78" s="32"/>
    </row>
    <row r="79" spans="1:6" ht="12" customHeight="1">
      <c r="A79" s="40" t="s">
        <v>58</v>
      </c>
      <c r="B79" s="29"/>
      <c r="C79" s="41"/>
      <c r="D79" s="31"/>
      <c r="E79" s="31"/>
      <c r="F79" s="32"/>
    </row>
    <row r="80" spans="1:6" ht="12" customHeight="1">
      <c r="A80" s="40" t="s">
        <v>59</v>
      </c>
      <c r="B80" s="29">
        <f>F59</f>
        <v>97147.05</v>
      </c>
      <c r="C80" s="41">
        <f>B80/B81</f>
        <v>4.7619047619047616E-2</v>
      </c>
      <c r="D80" s="31"/>
      <c r="E80" s="31"/>
      <c r="F80" s="32"/>
    </row>
    <row r="81" spans="1:6" ht="12.75" customHeight="1" thickBot="1">
      <c r="A81" s="42" t="s">
        <v>60</v>
      </c>
      <c r="B81" s="43">
        <f>SUM(B75:B80)</f>
        <v>2040088.05</v>
      </c>
      <c r="C81" s="44">
        <f>SUM(C75:C80)</f>
        <v>1</v>
      </c>
      <c r="D81" s="31"/>
      <c r="E81" s="31"/>
      <c r="F81" s="32"/>
    </row>
    <row r="82" spans="1:6" ht="12" customHeight="1">
      <c r="A82" s="36"/>
      <c r="B82" s="35"/>
      <c r="C82" s="35"/>
      <c r="D82" s="35"/>
      <c r="E82" s="35"/>
      <c r="F82" s="32"/>
    </row>
    <row r="83" spans="1:6" ht="12.75" customHeight="1">
      <c r="A83" s="37"/>
      <c r="B83" s="35"/>
      <c r="C83" s="35"/>
      <c r="D83" s="35"/>
      <c r="E83" s="35"/>
      <c r="F83" s="32"/>
    </row>
    <row r="84" spans="1:6" ht="12" customHeight="1" thickBot="1">
      <c r="A84" s="57"/>
      <c r="B84" s="58" t="s">
        <v>61</v>
      </c>
      <c r="C84" s="59"/>
      <c r="D84" s="60"/>
      <c r="E84" s="30"/>
      <c r="F84" s="32"/>
    </row>
    <row r="85" spans="1:6" ht="12" customHeight="1">
      <c r="A85" s="61" t="s">
        <v>107</v>
      </c>
      <c r="B85" s="99">
        <v>10</v>
      </c>
      <c r="C85" s="99">
        <v>12</v>
      </c>
      <c r="D85" s="100">
        <v>15</v>
      </c>
      <c r="E85" s="56"/>
      <c r="F85" s="33"/>
    </row>
    <row r="86" spans="1:6" ht="12.75" customHeight="1" thickBot="1">
      <c r="A86" s="98" t="s">
        <v>106</v>
      </c>
      <c r="B86" s="101">
        <f>$F$60/B85</f>
        <v>204008.80499999999</v>
      </c>
      <c r="C86" s="101">
        <f t="shared" ref="C86:D86" si="1">$F$60/C85</f>
        <v>170007.33749999999</v>
      </c>
      <c r="D86" s="101">
        <f t="shared" si="1"/>
        <v>136005.87</v>
      </c>
      <c r="E86" s="56"/>
      <c r="F86" s="33"/>
    </row>
    <row r="87" spans="1:6" ht="20.25" customHeight="1" thickBot="1">
      <c r="A87" s="103" t="s">
        <v>108</v>
      </c>
      <c r="B87" s="101">
        <f>25*B86/1000</f>
        <v>5100.2201249999998</v>
      </c>
      <c r="C87" s="101">
        <f t="shared" ref="C87:D87" si="2">25*C86/1000</f>
        <v>4250.1834374999999</v>
      </c>
      <c r="D87" s="101">
        <f t="shared" si="2"/>
        <v>3400.1467499999999</v>
      </c>
      <c r="E87" s="56"/>
      <c r="F87" s="33"/>
    </row>
    <row r="88" spans="1:6" ht="15.6" customHeight="1">
      <c r="A88" s="47" t="s">
        <v>62</v>
      </c>
      <c r="B88" s="34"/>
      <c r="C88" s="34"/>
      <c r="D88" s="34"/>
      <c r="E88" s="34"/>
      <c r="F88" s="34"/>
    </row>
  </sheetData>
  <mergeCells count="8">
    <mergeCell ref="A16:F16"/>
    <mergeCell ref="A73:B73"/>
    <mergeCell ref="D8:E8"/>
    <mergeCell ref="D9:E9"/>
    <mergeCell ref="D10:E10"/>
    <mergeCell ref="D12:E12"/>
    <mergeCell ref="D13:E13"/>
    <mergeCell ref="D14:E1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94"/>
  <sheetViews>
    <sheetView workbookViewId="0">
      <selection activeCell="B8" sqref="B8"/>
    </sheetView>
  </sheetViews>
  <sheetFormatPr baseColWidth="10" defaultColWidth="10.85546875" defaultRowHeight="11.25" customHeight="1"/>
  <cols>
    <col min="1" max="1" width="34.7109375" style="1" customWidth="1"/>
    <col min="2" max="2" width="19.42578125" style="1" customWidth="1"/>
    <col min="3" max="3" width="9.42578125" style="1" customWidth="1"/>
    <col min="4" max="4" width="17.7109375" style="1" customWidth="1"/>
    <col min="5" max="5" width="11" style="1" customWidth="1"/>
    <col min="6" max="6" width="18.5703125" style="1" customWidth="1"/>
    <col min="7" max="254" width="10.85546875" style="1" customWidth="1"/>
  </cols>
  <sheetData>
    <row r="1" spans="1:6" ht="15" customHeight="1">
      <c r="A1" s="2"/>
      <c r="B1" s="2"/>
      <c r="C1" s="2"/>
      <c r="D1" s="2"/>
      <c r="E1" s="2"/>
      <c r="F1" s="2"/>
    </row>
    <row r="2" spans="1:6" ht="15" customHeight="1">
      <c r="A2" s="2"/>
      <c r="B2" s="2"/>
      <c r="C2" s="2"/>
      <c r="D2" s="2"/>
      <c r="E2" s="2"/>
      <c r="F2" s="2"/>
    </row>
    <row r="3" spans="1:6" ht="15" customHeight="1">
      <c r="A3" s="2"/>
      <c r="B3" s="2"/>
      <c r="C3" s="2"/>
      <c r="D3" s="2"/>
      <c r="E3" s="2"/>
      <c r="F3" s="2"/>
    </row>
    <row r="4" spans="1:6" ht="15" customHeight="1">
      <c r="A4" s="2"/>
      <c r="B4" s="2"/>
      <c r="C4" s="2"/>
      <c r="D4" s="2"/>
      <c r="E4" s="2"/>
      <c r="F4" s="2"/>
    </row>
    <row r="5" spans="1:6" ht="15" customHeight="1">
      <c r="A5" s="2"/>
      <c r="B5" s="2"/>
      <c r="C5" s="2"/>
      <c r="D5" s="2"/>
      <c r="E5" s="2"/>
      <c r="F5" s="2"/>
    </row>
    <row r="6" spans="1:6" ht="15" customHeight="1">
      <c r="A6" s="2"/>
      <c r="B6" s="2"/>
      <c r="C6" s="2"/>
      <c r="D6" s="2"/>
      <c r="E6" s="2"/>
      <c r="F6" s="2"/>
    </row>
    <row r="7" spans="1:6" ht="15" customHeight="1">
      <c r="A7" s="3"/>
      <c r="B7" s="4"/>
      <c r="C7" s="2"/>
      <c r="D7" s="4"/>
      <c r="E7" s="4"/>
      <c r="F7" s="4"/>
    </row>
    <row r="8" spans="1:6" ht="12" customHeight="1">
      <c r="A8" s="5" t="s">
        <v>0</v>
      </c>
      <c r="B8" s="300" t="s">
        <v>129</v>
      </c>
      <c r="C8" s="6"/>
      <c r="D8" s="565" t="s">
        <v>67</v>
      </c>
      <c r="E8" s="566"/>
      <c r="F8" s="7">
        <v>30</v>
      </c>
    </row>
    <row r="9" spans="1:6" ht="16.5" customHeight="1">
      <c r="A9" s="8" t="s">
        <v>1</v>
      </c>
      <c r="B9" s="9" t="s">
        <v>64</v>
      </c>
      <c r="C9" s="10"/>
      <c r="D9" s="571" t="s">
        <v>2</v>
      </c>
      <c r="E9" s="572"/>
      <c r="F9" s="217" t="s">
        <v>145</v>
      </c>
    </row>
    <row r="10" spans="1:6" ht="15.75" customHeight="1">
      <c r="A10" s="8" t="s">
        <v>3</v>
      </c>
      <c r="B10" s="11" t="s">
        <v>4</v>
      </c>
      <c r="C10" s="10"/>
      <c r="D10" s="563" t="s">
        <v>105</v>
      </c>
      <c r="E10" s="564"/>
      <c r="F10" s="134">
        <v>550000</v>
      </c>
    </row>
    <row r="11" spans="1:6" ht="11.25" customHeight="1">
      <c r="A11" s="8" t="s">
        <v>5</v>
      </c>
      <c r="B11" s="13" t="s">
        <v>65</v>
      </c>
      <c r="C11" s="10"/>
      <c r="D11" s="63" t="s">
        <v>6</v>
      </c>
      <c r="E11" s="64"/>
      <c r="F11" s="16">
        <f>(F8*F10)</f>
        <v>16500000</v>
      </c>
    </row>
    <row r="12" spans="1:6" ht="11.25" customHeight="1">
      <c r="A12" s="8" t="s">
        <v>7</v>
      </c>
      <c r="B12" s="11" t="s">
        <v>66</v>
      </c>
      <c r="C12" s="10"/>
      <c r="D12" s="563" t="s">
        <v>8</v>
      </c>
      <c r="E12" s="564"/>
      <c r="F12" s="11" t="s">
        <v>143</v>
      </c>
    </row>
    <row r="13" spans="1:6" ht="13.5" customHeight="1">
      <c r="A13" s="8" t="s">
        <v>9</v>
      </c>
      <c r="B13" s="11" t="s">
        <v>66</v>
      </c>
      <c r="C13" s="10"/>
      <c r="D13" s="563" t="s">
        <v>10</v>
      </c>
      <c r="E13" s="564"/>
      <c r="F13" s="218" t="s">
        <v>144</v>
      </c>
    </row>
    <row r="14" spans="1:6" ht="15" customHeight="1">
      <c r="A14" s="8" t="s">
        <v>11</v>
      </c>
      <c r="B14" s="17">
        <v>44197</v>
      </c>
      <c r="C14" s="10"/>
      <c r="D14" s="567" t="s">
        <v>12</v>
      </c>
      <c r="E14" s="568"/>
      <c r="F14" s="13" t="s">
        <v>13</v>
      </c>
    </row>
    <row r="15" spans="1:6" ht="12" customHeight="1">
      <c r="A15" s="18"/>
      <c r="B15" s="19"/>
      <c r="C15" s="20"/>
      <c r="D15" s="21"/>
      <c r="E15" s="21"/>
      <c r="F15" s="22"/>
    </row>
    <row r="16" spans="1:6" ht="12" customHeight="1">
      <c r="A16" s="569" t="s">
        <v>14</v>
      </c>
      <c r="B16" s="570"/>
      <c r="C16" s="570"/>
      <c r="D16" s="570"/>
      <c r="E16" s="570"/>
      <c r="F16" s="570"/>
    </row>
    <row r="17" spans="1:6" ht="12" customHeight="1" thickBot="1">
      <c r="A17" s="23"/>
      <c r="B17" s="24"/>
      <c r="C17" s="24"/>
      <c r="D17" s="24"/>
      <c r="E17" s="25"/>
      <c r="F17" s="25"/>
    </row>
    <row r="18" spans="1:6" ht="12" customHeight="1" thickBot="1">
      <c r="A18" s="198" t="s">
        <v>15</v>
      </c>
      <c r="B18" s="66"/>
      <c r="C18" s="66"/>
      <c r="D18" s="66"/>
      <c r="E18" s="66"/>
      <c r="F18" s="66"/>
    </row>
    <row r="19" spans="1:6" ht="24" customHeight="1" thickBot="1">
      <c r="A19" s="135" t="s">
        <v>16</v>
      </c>
      <c r="B19" s="136" t="s">
        <v>17</v>
      </c>
      <c r="C19" s="136" t="s">
        <v>18</v>
      </c>
      <c r="D19" s="137" t="s">
        <v>19</v>
      </c>
      <c r="E19" s="136" t="s">
        <v>20</v>
      </c>
      <c r="F19" s="138" t="s">
        <v>21</v>
      </c>
    </row>
    <row r="20" spans="1:6" ht="12.75" customHeight="1">
      <c r="A20" s="139" t="s">
        <v>70</v>
      </c>
      <c r="B20" s="140" t="s">
        <v>22</v>
      </c>
      <c r="C20" s="140">
        <v>2</v>
      </c>
      <c r="D20" s="140" t="s">
        <v>28</v>
      </c>
      <c r="E20" s="141">
        <v>15000</v>
      </c>
      <c r="F20" s="141">
        <f>C20*E20</f>
        <v>30000</v>
      </c>
    </row>
    <row r="21" spans="1:6" ht="25.5" customHeight="1">
      <c r="A21" s="71" t="s">
        <v>71</v>
      </c>
      <c r="B21" s="72" t="s">
        <v>22</v>
      </c>
      <c r="C21" s="73">
        <v>1</v>
      </c>
      <c r="D21" s="73" t="s">
        <v>72</v>
      </c>
      <c r="E21" s="141">
        <v>15000</v>
      </c>
      <c r="F21" s="74">
        <f>E21*C21</f>
        <v>15000</v>
      </c>
    </row>
    <row r="22" spans="1:6" ht="12.75" customHeight="1">
      <c r="A22" s="142" t="s">
        <v>73</v>
      </c>
      <c r="B22" s="143" t="s">
        <v>22</v>
      </c>
      <c r="C22" s="144">
        <v>10</v>
      </c>
      <c r="D22" s="144" t="s">
        <v>72</v>
      </c>
      <c r="E22" s="141">
        <v>15000</v>
      </c>
      <c r="F22" s="145">
        <f>E22*C22</f>
        <v>150000</v>
      </c>
    </row>
    <row r="23" spans="1:6" ht="12.75" customHeight="1">
      <c r="A23" s="146" t="s">
        <v>74</v>
      </c>
      <c r="B23" s="72" t="s">
        <v>22</v>
      </c>
      <c r="C23" s="73">
        <v>2</v>
      </c>
      <c r="D23" s="73" t="s">
        <v>29</v>
      </c>
      <c r="E23" s="141">
        <v>15000</v>
      </c>
      <c r="F23" s="147">
        <f>E23*C23</f>
        <v>30000</v>
      </c>
    </row>
    <row r="24" spans="1:6" ht="12" customHeight="1">
      <c r="A24" s="146" t="s">
        <v>75</v>
      </c>
      <c r="B24" s="72" t="s">
        <v>22</v>
      </c>
      <c r="C24" s="73">
        <v>6</v>
      </c>
      <c r="D24" s="73" t="s">
        <v>29</v>
      </c>
      <c r="E24" s="141">
        <v>15000</v>
      </c>
      <c r="F24" s="147">
        <f>E24*C24</f>
        <v>90000</v>
      </c>
    </row>
    <row r="25" spans="1:6" ht="12" customHeight="1" thickBot="1">
      <c r="A25" s="148" t="s">
        <v>118</v>
      </c>
      <c r="B25" s="149" t="s">
        <v>22</v>
      </c>
      <c r="C25" s="150">
        <v>30</v>
      </c>
      <c r="D25" s="150" t="s">
        <v>83</v>
      </c>
      <c r="E25" s="151">
        <v>15000</v>
      </c>
      <c r="F25" s="152">
        <f>E25*C25</f>
        <v>450000</v>
      </c>
    </row>
    <row r="26" spans="1:6" ht="24" customHeight="1" thickBot="1">
      <c r="A26" s="153" t="s">
        <v>23</v>
      </c>
      <c r="B26" s="154"/>
      <c r="C26" s="154"/>
      <c r="D26" s="154"/>
      <c r="E26" s="155"/>
      <c r="F26" s="156">
        <f>SUM(F20:F25)</f>
        <v>765000</v>
      </c>
    </row>
    <row r="27" spans="1:6" ht="12" customHeight="1" thickBot="1">
      <c r="A27" s="66"/>
      <c r="B27" s="78"/>
      <c r="C27" s="78"/>
      <c r="D27" s="78"/>
      <c r="E27" s="66"/>
      <c r="F27" s="66"/>
    </row>
    <row r="28" spans="1:6" ht="12" customHeight="1" thickBot="1">
      <c r="A28" s="198" t="s">
        <v>24</v>
      </c>
      <c r="B28" s="78"/>
      <c r="C28" s="78"/>
      <c r="D28" s="78"/>
      <c r="E28" s="66"/>
      <c r="F28" s="66"/>
    </row>
    <row r="29" spans="1:6" ht="12" customHeight="1" thickBot="1">
      <c r="A29" s="157" t="s">
        <v>16</v>
      </c>
      <c r="B29" s="136" t="s">
        <v>17</v>
      </c>
      <c r="C29" s="137" t="s">
        <v>18</v>
      </c>
      <c r="D29" s="158" t="s">
        <v>19</v>
      </c>
      <c r="E29" s="137" t="s">
        <v>20</v>
      </c>
      <c r="F29" s="158" t="s">
        <v>21</v>
      </c>
    </row>
    <row r="30" spans="1:6" ht="12" customHeight="1">
      <c r="A30" s="139" t="s">
        <v>70</v>
      </c>
      <c r="B30" s="140" t="s">
        <v>63</v>
      </c>
      <c r="C30" s="140">
        <v>2</v>
      </c>
      <c r="D30" s="140" t="s">
        <v>28</v>
      </c>
      <c r="E30" s="141">
        <v>20000</v>
      </c>
      <c r="F30" s="141">
        <f>C30*E30</f>
        <v>40000</v>
      </c>
    </row>
    <row r="31" spans="1:6" ht="24" customHeight="1">
      <c r="A31" s="68" t="s">
        <v>80</v>
      </c>
      <c r="B31" s="69" t="s">
        <v>63</v>
      </c>
      <c r="C31" s="69">
        <v>1</v>
      </c>
      <c r="D31" s="69" t="s">
        <v>72</v>
      </c>
      <c r="E31" s="70">
        <v>20000</v>
      </c>
      <c r="F31" s="70">
        <f>C31*E31</f>
        <v>20000</v>
      </c>
    </row>
    <row r="32" spans="1:6" ht="12.75" customHeight="1">
      <c r="A32" s="68" t="s">
        <v>81</v>
      </c>
      <c r="B32" s="69" t="s">
        <v>63</v>
      </c>
      <c r="C32" s="69">
        <v>1</v>
      </c>
      <c r="D32" s="69" t="s">
        <v>72</v>
      </c>
      <c r="E32" s="141">
        <v>20000</v>
      </c>
      <c r="F32" s="70">
        <f>C32*E32</f>
        <v>20000</v>
      </c>
    </row>
    <row r="33" spans="1:6" ht="12.75" customHeight="1">
      <c r="A33" s="159" t="s">
        <v>74</v>
      </c>
      <c r="B33" s="160" t="s">
        <v>63</v>
      </c>
      <c r="C33" s="160">
        <v>2</v>
      </c>
      <c r="D33" s="160" t="s">
        <v>29</v>
      </c>
      <c r="E33" s="70">
        <v>20000</v>
      </c>
      <c r="F33" s="161">
        <f>C33*E33</f>
        <v>40000</v>
      </c>
    </row>
    <row r="34" spans="1:6" ht="12.75" customHeight="1" thickBot="1">
      <c r="A34" s="162" t="s">
        <v>130</v>
      </c>
      <c r="B34" s="163" t="s">
        <v>63</v>
      </c>
      <c r="C34" s="164">
        <v>8</v>
      </c>
      <c r="D34" s="165" t="s">
        <v>83</v>
      </c>
      <c r="E34" s="141">
        <v>20000</v>
      </c>
      <c r="F34" s="166">
        <f>C34*E34</f>
        <v>160000</v>
      </c>
    </row>
    <row r="35" spans="1:6" ht="12.75" customHeight="1" thickBot="1">
      <c r="A35" s="153" t="s">
        <v>25</v>
      </c>
      <c r="B35" s="154"/>
      <c r="C35" s="154"/>
      <c r="D35" s="154"/>
      <c r="E35" s="167"/>
      <c r="F35" s="168">
        <f>SUM(F30:F34)</f>
        <v>280000</v>
      </c>
    </row>
    <row r="36" spans="1:6" ht="12.75" customHeight="1" thickBot="1">
      <c r="A36" s="66"/>
      <c r="B36" s="78"/>
      <c r="C36" s="78"/>
      <c r="D36" s="78"/>
      <c r="E36" s="66"/>
      <c r="F36" s="66"/>
    </row>
    <row r="37" spans="1:6" ht="12.75" customHeight="1" thickBot="1">
      <c r="A37" s="199" t="s">
        <v>26</v>
      </c>
      <c r="B37" s="78"/>
      <c r="C37" s="78"/>
      <c r="D37" s="78"/>
      <c r="E37" s="66"/>
      <c r="F37" s="66"/>
    </row>
    <row r="38" spans="1:6" ht="25.5" customHeight="1" thickBot="1">
      <c r="A38" s="158" t="s">
        <v>16</v>
      </c>
      <c r="B38" s="169" t="s">
        <v>17</v>
      </c>
      <c r="C38" s="158" t="s">
        <v>18</v>
      </c>
      <c r="D38" s="169" t="s">
        <v>19</v>
      </c>
      <c r="E38" s="136" t="s">
        <v>20</v>
      </c>
      <c r="F38" s="170" t="s">
        <v>21</v>
      </c>
    </row>
    <row r="39" spans="1:6" ht="25.5" customHeight="1">
      <c r="A39" s="139" t="s">
        <v>131</v>
      </c>
      <c r="B39" s="140" t="s">
        <v>84</v>
      </c>
      <c r="C39" s="140">
        <v>4</v>
      </c>
      <c r="D39" s="140" t="s">
        <v>85</v>
      </c>
      <c r="E39" s="139">
        <v>22000</v>
      </c>
      <c r="F39" s="139">
        <f>(C39*E39)*1.19</f>
        <v>104720</v>
      </c>
    </row>
    <row r="40" spans="1:6" ht="25.5" customHeight="1">
      <c r="A40" s="171" t="s">
        <v>132</v>
      </c>
      <c r="B40" s="172" t="s">
        <v>84</v>
      </c>
      <c r="C40" s="172">
        <v>3</v>
      </c>
      <c r="D40" s="172" t="s">
        <v>133</v>
      </c>
      <c r="E40" s="171">
        <v>22000</v>
      </c>
      <c r="F40" s="139">
        <f>(C40*E40)*1.19</f>
        <v>78540</v>
      </c>
    </row>
    <row r="41" spans="1:6" ht="12.75" customHeight="1" thickBot="1">
      <c r="A41" s="173" t="s">
        <v>86</v>
      </c>
      <c r="B41" s="163" t="s">
        <v>84</v>
      </c>
      <c r="C41" s="163">
        <v>1</v>
      </c>
      <c r="D41" s="163" t="s">
        <v>87</v>
      </c>
      <c r="E41" s="174">
        <v>22000</v>
      </c>
      <c r="F41" s="175">
        <f>C41*2*E41</f>
        <v>44000</v>
      </c>
    </row>
    <row r="42" spans="1:6" ht="12.75" customHeight="1" thickBot="1">
      <c r="A42" s="153" t="s">
        <v>88</v>
      </c>
      <c r="B42" s="154"/>
      <c r="C42" s="154"/>
      <c r="D42" s="154"/>
      <c r="E42" s="167"/>
      <c r="F42" s="168">
        <f>F39+F41</f>
        <v>148720</v>
      </c>
    </row>
    <row r="43" spans="1:6" ht="12.75" customHeight="1" thickBot="1">
      <c r="A43" s="66"/>
      <c r="B43" s="78"/>
      <c r="C43" s="78"/>
      <c r="D43" s="78"/>
      <c r="E43" s="66"/>
      <c r="F43" s="66"/>
    </row>
    <row r="44" spans="1:6" ht="25.5" customHeight="1" thickBot="1">
      <c r="A44" s="199" t="s">
        <v>30</v>
      </c>
      <c r="B44" s="78"/>
      <c r="C44" s="78"/>
      <c r="D44" s="78"/>
      <c r="E44" s="66"/>
      <c r="F44" s="66"/>
    </row>
    <row r="45" spans="1:6" ht="12.75" customHeight="1" thickBot="1">
      <c r="A45" s="136" t="s">
        <v>31</v>
      </c>
      <c r="B45" s="137" t="s">
        <v>32</v>
      </c>
      <c r="C45" s="136" t="s">
        <v>33</v>
      </c>
      <c r="D45" s="137" t="s">
        <v>19</v>
      </c>
      <c r="E45" s="136" t="s">
        <v>20</v>
      </c>
      <c r="F45" s="138" t="s">
        <v>21</v>
      </c>
    </row>
    <row r="46" spans="1:6" ht="12.75" customHeight="1">
      <c r="A46" s="176" t="s">
        <v>134</v>
      </c>
      <c r="B46" s="177"/>
      <c r="C46" s="177"/>
      <c r="D46" s="178"/>
      <c r="E46" s="177"/>
      <c r="F46" s="179"/>
    </row>
    <row r="47" spans="1:6" ht="12" customHeight="1">
      <c r="A47" s="180" t="s">
        <v>90</v>
      </c>
      <c r="B47" s="181" t="s">
        <v>91</v>
      </c>
      <c r="C47" s="181">
        <v>2</v>
      </c>
      <c r="D47" s="181" t="s">
        <v>135</v>
      </c>
      <c r="E47" s="216">
        <v>12000</v>
      </c>
      <c r="F47" s="182">
        <f>(C47*E47)*1.19</f>
        <v>28560</v>
      </c>
    </row>
    <row r="48" spans="1:6" ht="12" customHeight="1">
      <c r="A48" s="183" t="s">
        <v>92</v>
      </c>
      <c r="B48" s="83" t="s">
        <v>93</v>
      </c>
      <c r="C48" s="83">
        <v>1</v>
      </c>
      <c r="D48" s="160" t="s">
        <v>136</v>
      </c>
      <c r="E48" s="87">
        <v>12900</v>
      </c>
      <c r="F48" s="184">
        <f>(E48*C48)*1.19</f>
        <v>15351</v>
      </c>
    </row>
    <row r="49" spans="1:10" ht="24" customHeight="1">
      <c r="A49" s="185" t="s">
        <v>95</v>
      </c>
      <c r="B49" s="89"/>
      <c r="C49" s="89"/>
      <c r="D49" s="160"/>
      <c r="E49" s="90"/>
      <c r="F49" s="184"/>
      <c r="J49" s="62"/>
    </row>
    <row r="50" spans="1:10" ht="12.75" customHeight="1">
      <c r="A50" s="183" t="s">
        <v>96</v>
      </c>
      <c r="B50" s="83" t="s">
        <v>93</v>
      </c>
      <c r="C50" s="83">
        <v>4</v>
      </c>
      <c r="D50" s="160" t="s">
        <v>137</v>
      </c>
      <c r="E50" s="87">
        <v>15000</v>
      </c>
      <c r="F50" s="184">
        <f>(E50*C50)*1.19</f>
        <v>71400</v>
      </c>
      <c r="J50" s="62"/>
    </row>
    <row r="51" spans="1:10" ht="12.75" customHeight="1">
      <c r="A51" s="186" t="s">
        <v>138</v>
      </c>
      <c r="B51" s="83" t="s">
        <v>35</v>
      </c>
      <c r="C51" s="83">
        <v>2800</v>
      </c>
      <c r="D51" s="160" t="s">
        <v>72</v>
      </c>
      <c r="E51" s="87">
        <v>560</v>
      </c>
      <c r="F51" s="184">
        <f>(E51*C51)*1.19</f>
        <v>1865920</v>
      </c>
    </row>
    <row r="52" spans="1:10" ht="12.75" customHeight="1">
      <c r="A52" s="186" t="s">
        <v>34</v>
      </c>
      <c r="B52" s="83"/>
      <c r="C52" s="83"/>
      <c r="D52" s="160"/>
      <c r="E52" s="72"/>
      <c r="F52" s="184"/>
    </row>
    <row r="53" spans="1:10" ht="12.75" customHeight="1">
      <c r="A53" s="183" t="s">
        <v>99</v>
      </c>
      <c r="B53" s="83" t="s">
        <v>35</v>
      </c>
      <c r="C53" s="83">
        <v>1600</v>
      </c>
      <c r="D53" s="160" t="s">
        <v>139</v>
      </c>
      <c r="E53" s="72">
        <v>400</v>
      </c>
      <c r="F53" s="184">
        <f>(E53*C53)*1.19</f>
        <v>761600</v>
      </c>
    </row>
    <row r="54" spans="1:10" ht="27" customHeight="1">
      <c r="A54" s="183" t="s">
        <v>140</v>
      </c>
      <c r="B54" s="83" t="s">
        <v>35</v>
      </c>
      <c r="C54" s="83">
        <v>2000</v>
      </c>
      <c r="D54" s="160" t="s">
        <v>141</v>
      </c>
      <c r="E54" s="72">
        <v>110</v>
      </c>
      <c r="F54" s="184">
        <f>(E54*C54)*1.19</f>
        <v>261800</v>
      </c>
    </row>
    <row r="55" spans="1:10" ht="12.75" customHeight="1">
      <c r="A55" s="186" t="s">
        <v>37</v>
      </c>
      <c r="B55" s="83"/>
      <c r="C55" s="83"/>
      <c r="D55" s="83"/>
      <c r="E55" s="72"/>
      <c r="F55" s="184"/>
    </row>
    <row r="56" spans="1:10" ht="12.75" customHeight="1" thickBot="1">
      <c r="A56" s="187" t="s">
        <v>101</v>
      </c>
      <c r="B56" s="188" t="s">
        <v>102</v>
      </c>
      <c r="C56" s="188">
        <v>1200</v>
      </c>
      <c r="D56" s="188" t="s">
        <v>103</v>
      </c>
      <c r="E56" s="189">
        <v>180</v>
      </c>
      <c r="F56" s="190">
        <f>(E56*C56)*1.19</f>
        <v>257040</v>
      </c>
    </row>
    <row r="57" spans="1:10" ht="12.75" customHeight="1" thickBot="1">
      <c r="A57" s="153" t="s">
        <v>36</v>
      </c>
      <c r="B57" s="154"/>
      <c r="C57" s="154"/>
      <c r="D57" s="154"/>
      <c r="E57" s="155"/>
      <c r="F57" s="156">
        <f>SUM(F47:F56)</f>
        <v>3261671</v>
      </c>
    </row>
    <row r="58" spans="1:10" ht="21" customHeight="1" thickBot="1">
      <c r="A58" s="91"/>
      <c r="B58" s="78"/>
      <c r="C58" s="78"/>
      <c r="D58" s="78"/>
      <c r="E58" s="66"/>
      <c r="F58" s="91"/>
    </row>
    <row r="59" spans="1:10" ht="12.75" customHeight="1" thickBot="1">
      <c r="A59" s="199" t="s">
        <v>37</v>
      </c>
      <c r="B59" s="78"/>
      <c r="C59" s="78"/>
      <c r="D59" s="78"/>
      <c r="E59" s="66"/>
      <c r="F59" s="66"/>
    </row>
    <row r="60" spans="1:10" ht="21.75" customHeight="1" thickBot="1">
      <c r="A60" s="158" t="s">
        <v>38</v>
      </c>
      <c r="B60" s="136" t="s">
        <v>32</v>
      </c>
      <c r="C60" s="137" t="s">
        <v>33</v>
      </c>
      <c r="D60" s="158" t="s">
        <v>19</v>
      </c>
      <c r="E60" s="137" t="s">
        <v>20</v>
      </c>
      <c r="F60" s="158" t="s">
        <v>21</v>
      </c>
    </row>
    <row r="61" spans="1:10" ht="12" customHeight="1">
      <c r="A61" s="191" t="s">
        <v>142</v>
      </c>
      <c r="B61" s="192"/>
      <c r="C61" s="192"/>
      <c r="D61" s="192"/>
      <c r="E61" s="193"/>
      <c r="F61" s="193"/>
    </row>
    <row r="62" spans="1:10" ht="12" customHeight="1">
      <c r="A62" s="194" t="s">
        <v>39</v>
      </c>
      <c r="B62" s="195"/>
      <c r="C62" s="195"/>
      <c r="D62" s="195"/>
      <c r="E62" s="194"/>
      <c r="F62" s="196"/>
    </row>
    <row r="63" spans="1:10" ht="12" customHeight="1" thickBot="1">
      <c r="A63" s="91"/>
      <c r="B63" s="78"/>
      <c r="C63" s="78"/>
      <c r="D63" s="78"/>
      <c r="E63" s="66"/>
      <c r="F63" s="91"/>
    </row>
    <row r="64" spans="1:10" ht="21" customHeight="1" thickBot="1">
      <c r="A64" s="200" t="s">
        <v>40</v>
      </c>
      <c r="B64" s="201"/>
      <c r="C64" s="201"/>
      <c r="D64" s="201"/>
      <c r="E64" s="202"/>
      <c r="F64" s="203">
        <f>F26+F35+F42+F57+F62</f>
        <v>4455391</v>
      </c>
    </row>
    <row r="65" spans="1:6" ht="12" customHeight="1" thickBot="1">
      <c r="A65" s="204" t="s">
        <v>41</v>
      </c>
      <c r="B65" s="205"/>
      <c r="C65" s="205"/>
      <c r="D65" s="205"/>
      <c r="E65" s="206"/>
      <c r="F65" s="207">
        <f>F64*5%</f>
        <v>222769.55000000002</v>
      </c>
    </row>
    <row r="66" spans="1:6" ht="12" customHeight="1" thickBot="1">
      <c r="A66" s="208" t="s">
        <v>42</v>
      </c>
      <c r="B66" s="209"/>
      <c r="C66" s="209"/>
      <c r="D66" s="209"/>
      <c r="E66" s="210"/>
      <c r="F66" s="211">
        <f>SUM(F64:F65)</f>
        <v>4678160.55</v>
      </c>
    </row>
    <row r="67" spans="1:6" ht="12" customHeight="1" thickBot="1">
      <c r="A67" s="204" t="s">
        <v>43</v>
      </c>
      <c r="B67" s="205"/>
      <c r="C67" s="205"/>
      <c r="D67" s="205"/>
      <c r="E67" s="206"/>
      <c r="F67" s="207">
        <f>F11</f>
        <v>16500000</v>
      </c>
    </row>
    <row r="68" spans="1:6" ht="12" customHeight="1" thickBot="1">
      <c r="A68" s="212" t="s">
        <v>44</v>
      </c>
      <c r="B68" s="213"/>
      <c r="C68" s="213"/>
      <c r="D68" s="213"/>
      <c r="E68" s="214"/>
      <c r="F68" s="215">
        <f>F67-F66</f>
        <v>11821839.449999999</v>
      </c>
    </row>
    <row r="69" spans="1:6" ht="12" customHeight="1">
      <c r="A69" s="197" t="s">
        <v>104</v>
      </c>
      <c r="B69" s="197"/>
      <c r="C69" s="197"/>
      <c r="D69" s="197"/>
      <c r="E69" s="197"/>
      <c r="F69" s="197"/>
    </row>
    <row r="70" spans="1:6" ht="11.25" customHeight="1" thickBot="1">
      <c r="A70" s="197"/>
      <c r="B70" s="197"/>
      <c r="C70" s="197"/>
      <c r="D70" s="197"/>
      <c r="E70" s="197"/>
      <c r="F70" s="197"/>
    </row>
    <row r="71" spans="1:6" ht="11.25" customHeight="1">
      <c r="A71" s="48" t="s">
        <v>45</v>
      </c>
      <c r="B71" s="49"/>
      <c r="C71" s="49"/>
      <c r="D71" s="49"/>
      <c r="E71" s="50"/>
      <c r="F71" s="32"/>
    </row>
    <row r="72" spans="1:6" ht="11.25" customHeight="1">
      <c r="A72" s="51" t="s">
        <v>46</v>
      </c>
      <c r="B72" s="34"/>
      <c r="C72" s="34"/>
      <c r="D72" s="34"/>
      <c r="E72" s="52"/>
      <c r="F72" s="32"/>
    </row>
    <row r="73" spans="1:6" ht="11.25" customHeight="1">
      <c r="A73" s="51" t="s">
        <v>47</v>
      </c>
      <c r="B73" s="34"/>
      <c r="C73" s="34"/>
      <c r="D73" s="34"/>
      <c r="E73" s="52"/>
      <c r="F73" s="32"/>
    </row>
    <row r="74" spans="1:6" ht="11.25" customHeight="1">
      <c r="A74" s="51" t="s">
        <v>48</v>
      </c>
      <c r="B74" s="34"/>
      <c r="C74" s="34"/>
      <c r="D74" s="34"/>
      <c r="E74" s="52"/>
      <c r="F74" s="32"/>
    </row>
    <row r="75" spans="1:6" ht="11.25" customHeight="1">
      <c r="A75" s="51" t="s">
        <v>49</v>
      </c>
      <c r="B75" s="34"/>
      <c r="C75" s="34"/>
      <c r="D75" s="34"/>
      <c r="E75" s="52"/>
      <c r="F75" s="32"/>
    </row>
    <row r="76" spans="1:6" ht="11.25" customHeight="1">
      <c r="A76" s="51" t="s">
        <v>50</v>
      </c>
      <c r="B76" s="34"/>
      <c r="C76" s="34"/>
      <c r="D76" s="34"/>
      <c r="E76" s="52"/>
      <c r="F76" s="32"/>
    </row>
    <row r="77" spans="1:6" ht="11.25" customHeight="1" thickBot="1">
      <c r="A77" s="53" t="s">
        <v>51</v>
      </c>
      <c r="B77" s="54"/>
      <c r="C77" s="54"/>
      <c r="D77" s="54"/>
      <c r="E77" s="55"/>
      <c r="F77" s="32"/>
    </row>
    <row r="78" spans="1:6" ht="11.25" customHeight="1">
      <c r="A78" s="46"/>
      <c r="B78" s="34"/>
      <c r="C78" s="34"/>
      <c r="D78" s="34"/>
      <c r="E78" s="34"/>
      <c r="F78" s="32"/>
    </row>
    <row r="79" spans="1:6" ht="11.25" customHeight="1" thickBot="1">
      <c r="A79" s="561" t="s">
        <v>52</v>
      </c>
      <c r="B79" s="562"/>
      <c r="C79" s="45"/>
      <c r="D79" s="26"/>
      <c r="E79" s="26"/>
      <c r="F79" s="32"/>
    </row>
    <row r="80" spans="1:6" ht="11.25" customHeight="1">
      <c r="A80" s="38" t="s">
        <v>38</v>
      </c>
      <c r="B80" s="27" t="s">
        <v>53</v>
      </c>
      <c r="C80" s="39" t="s">
        <v>54</v>
      </c>
      <c r="D80" s="26"/>
      <c r="E80" s="26"/>
      <c r="F80" s="32"/>
    </row>
    <row r="81" spans="1:6" ht="11.25" customHeight="1">
      <c r="A81" s="40" t="s">
        <v>55</v>
      </c>
      <c r="B81" s="28">
        <f>F26</f>
        <v>765000</v>
      </c>
      <c r="C81" s="41">
        <f>$B$81/B87</f>
        <v>0.16352581144313227</v>
      </c>
      <c r="D81" s="26"/>
      <c r="E81" s="26"/>
      <c r="F81" s="32"/>
    </row>
    <row r="82" spans="1:6" ht="11.25" customHeight="1">
      <c r="A82" s="40" t="s">
        <v>56</v>
      </c>
      <c r="B82" s="28">
        <f>F35</f>
        <v>280000</v>
      </c>
      <c r="C82" s="41">
        <f>B82/B87</f>
        <v>5.9852584580492862E-2</v>
      </c>
      <c r="D82" s="26"/>
      <c r="E82" s="26"/>
      <c r="F82" s="32"/>
    </row>
    <row r="83" spans="1:6" ht="11.25" customHeight="1">
      <c r="A83" s="40" t="s">
        <v>57</v>
      </c>
      <c r="B83" s="28">
        <f>F42</f>
        <v>148720</v>
      </c>
      <c r="C83" s="41">
        <f>B83/B87</f>
        <v>3.1790272781467496E-2</v>
      </c>
      <c r="D83" s="26"/>
      <c r="E83" s="26"/>
      <c r="F83" s="32"/>
    </row>
    <row r="84" spans="1:6" ht="11.25" customHeight="1">
      <c r="A84" s="40" t="s">
        <v>31</v>
      </c>
      <c r="B84" s="28">
        <f>F57</f>
        <v>3261671</v>
      </c>
      <c r="C84" s="41">
        <f>B84/B87</f>
        <v>0.69721228357585974</v>
      </c>
      <c r="D84" s="26"/>
      <c r="E84" s="26"/>
      <c r="F84" s="32"/>
    </row>
    <row r="85" spans="1:6" ht="11.25" customHeight="1">
      <c r="A85" s="40" t="s">
        <v>58</v>
      </c>
      <c r="B85" s="29"/>
      <c r="C85" s="41"/>
      <c r="D85" s="31"/>
      <c r="E85" s="31"/>
      <c r="F85" s="32"/>
    </row>
    <row r="86" spans="1:6" ht="11.25" customHeight="1">
      <c r="A86" s="40" t="s">
        <v>59</v>
      </c>
      <c r="B86" s="29">
        <f>F65</f>
        <v>222769.55000000002</v>
      </c>
      <c r="C86" s="41">
        <f>B86/B87</f>
        <v>4.7619047619047623E-2</v>
      </c>
      <c r="D86" s="31"/>
      <c r="E86" s="31"/>
      <c r="F86" s="32"/>
    </row>
    <row r="87" spans="1:6" ht="11.25" customHeight="1" thickBot="1">
      <c r="A87" s="42" t="s">
        <v>60</v>
      </c>
      <c r="B87" s="43">
        <f>SUM(B81:B86)</f>
        <v>4678160.55</v>
      </c>
      <c r="C87" s="44">
        <f>SUM(C81:C86)</f>
        <v>1</v>
      </c>
      <c r="D87" s="31"/>
      <c r="E87" s="31"/>
      <c r="F87" s="32"/>
    </row>
    <row r="88" spans="1:6" ht="11.25" customHeight="1">
      <c r="A88" s="36"/>
      <c r="B88" s="35"/>
      <c r="C88" s="35"/>
      <c r="D88" s="35"/>
      <c r="E88" s="35"/>
      <c r="F88" s="32"/>
    </row>
    <row r="89" spans="1:6" ht="11.25" customHeight="1">
      <c r="A89" s="37"/>
      <c r="B89" s="35"/>
      <c r="C89" s="35"/>
      <c r="D89" s="35"/>
      <c r="E89" s="35"/>
      <c r="F89" s="32"/>
    </row>
    <row r="90" spans="1:6" ht="11.25" customHeight="1" thickBot="1">
      <c r="A90" s="57"/>
      <c r="B90" s="58" t="s">
        <v>61</v>
      </c>
      <c r="C90" s="59"/>
      <c r="D90" s="60"/>
      <c r="E90" s="30"/>
      <c r="F90" s="32"/>
    </row>
    <row r="91" spans="1:6" ht="11.25" customHeight="1">
      <c r="A91" s="61" t="s">
        <v>107</v>
      </c>
      <c r="B91" s="99">
        <v>25</v>
      </c>
      <c r="C91" s="99">
        <v>30</v>
      </c>
      <c r="D91" s="100">
        <v>35</v>
      </c>
      <c r="E91" s="56"/>
      <c r="F91" s="33"/>
    </row>
    <row r="92" spans="1:6" ht="11.25" customHeight="1" thickBot="1">
      <c r="A92" s="98" t="s">
        <v>106</v>
      </c>
      <c r="B92" s="101">
        <f>$F$66/B91</f>
        <v>187126.42199999999</v>
      </c>
      <c r="C92" s="101">
        <f t="shared" ref="C92:D92" si="0">$F$66/C91</f>
        <v>155938.685</v>
      </c>
      <c r="D92" s="101">
        <f t="shared" si="0"/>
        <v>133661.72999999998</v>
      </c>
      <c r="E92" s="56"/>
      <c r="F92" s="33"/>
    </row>
    <row r="93" spans="1:6" ht="11.25" customHeight="1" thickBot="1">
      <c r="A93" s="103" t="s">
        <v>108</v>
      </c>
      <c r="B93" s="101">
        <f>25*B92/1000</f>
        <v>4678.1605499999996</v>
      </c>
      <c r="C93" s="101">
        <f t="shared" ref="C93:D93" si="1">25*C92/1000</f>
        <v>3898.4671250000001</v>
      </c>
      <c r="D93" s="101">
        <f t="shared" si="1"/>
        <v>3341.5432499999997</v>
      </c>
      <c r="E93" s="56"/>
      <c r="F93" s="33"/>
    </row>
    <row r="94" spans="1:6" ht="11.25" customHeight="1">
      <c r="A94" s="47" t="s">
        <v>62</v>
      </c>
      <c r="B94" s="34"/>
      <c r="C94" s="34"/>
      <c r="D94" s="34"/>
      <c r="E94" s="34"/>
      <c r="F94" s="34"/>
    </row>
  </sheetData>
  <mergeCells count="8">
    <mergeCell ref="A16:F16"/>
    <mergeCell ref="A79:B79"/>
    <mergeCell ref="D8:E8"/>
    <mergeCell ref="D9:E9"/>
    <mergeCell ref="D10:E10"/>
    <mergeCell ref="D12:E12"/>
    <mergeCell ref="D13:E13"/>
    <mergeCell ref="D14:E1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U88"/>
  <sheetViews>
    <sheetView tabSelected="1" topLeftCell="A16" workbookViewId="0">
      <selection activeCell="G51" sqref="G51"/>
    </sheetView>
  </sheetViews>
  <sheetFormatPr baseColWidth="10" defaultColWidth="10.85546875" defaultRowHeight="11.25" customHeight="1"/>
  <cols>
    <col min="1" max="1" width="3" style="486" customWidth="1"/>
    <col min="2" max="2" width="27.85546875" style="62" customWidth="1"/>
    <col min="3" max="3" width="15.28515625" style="62" customWidth="1"/>
    <col min="4" max="4" width="9.42578125" style="62" customWidth="1"/>
    <col min="5" max="5" width="17.7109375" style="62" customWidth="1"/>
    <col min="6" max="6" width="10" style="62" customWidth="1"/>
    <col min="7" max="7" width="11" style="62" customWidth="1"/>
    <col min="8" max="255" width="10.85546875" style="62" customWidth="1"/>
    <col min="256" max="16384" width="10.85546875" style="486"/>
  </cols>
  <sheetData>
    <row r="1" spans="2:7" ht="15" customHeight="1">
      <c r="B1" s="487"/>
      <c r="C1" s="487"/>
      <c r="D1" s="487"/>
      <c r="E1" s="487"/>
      <c r="F1" s="487"/>
      <c r="G1" s="487"/>
    </row>
    <row r="2" spans="2:7" ht="15" customHeight="1">
      <c r="B2" s="487"/>
      <c r="C2" s="487"/>
      <c r="D2" s="487"/>
      <c r="E2" s="487"/>
      <c r="F2" s="487"/>
      <c r="G2" s="487"/>
    </row>
    <row r="3" spans="2:7" ht="15" customHeight="1">
      <c r="B3" s="487"/>
      <c r="C3" s="487"/>
      <c r="D3" s="487"/>
      <c r="E3" s="487"/>
      <c r="F3" s="487"/>
      <c r="G3" s="487"/>
    </row>
    <row r="4" spans="2:7" ht="15" customHeight="1">
      <c r="B4" s="487"/>
      <c r="C4" s="487"/>
      <c r="D4" s="487"/>
      <c r="E4" s="487"/>
      <c r="F4" s="487"/>
      <c r="G4" s="487"/>
    </row>
    <row r="5" spans="2:7" ht="15" customHeight="1">
      <c r="B5" s="487"/>
      <c r="C5" s="487"/>
      <c r="D5" s="487"/>
      <c r="E5" s="487"/>
      <c r="F5" s="487"/>
      <c r="G5" s="487"/>
    </row>
    <row r="6" spans="2:7" ht="15" customHeight="1">
      <c r="B6" s="487"/>
      <c r="C6" s="487"/>
      <c r="D6" s="487"/>
      <c r="E6" s="487"/>
      <c r="F6" s="487"/>
      <c r="G6" s="487"/>
    </row>
    <row r="7" spans="2:7" ht="15" customHeight="1">
      <c r="B7" s="487"/>
      <c r="C7" s="487"/>
      <c r="D7" s="487"/>
      <c r="E7" s="487"/>
      <c r="F7" s="487"/>
      <c r="G7" s="487"/>
    </row>
    <row r="8" spans="2:7" ht="12" customHeight="1">
      <c r="B8" s="520" t="s">
        <v>0</v>
      </c>
      <c r="C8" s="496" t="s">
        <v>146</v>
      </c>
      <c r="D8" s="488"/>
      <c r="E8" s="577" t="s">
        <v>148</v>
      </c>
      <c r="F8" s="578"/>
      <c r="G8" s="501">
        <v>40</v>
      </c>
    </row>
    <row r="9" spans="2:7" ht="15">
      <c r="B9" s="497" t="s">
        <v>1</v>
      </c>
      <c r="C9" s="219" t="s">
        <v>147</v>
      </c>
      <c r="D9" s="489"/>
      <c r="E9" s="579" t="s">
        <v>2</v>
      </c>
      <c r="F9" s="580"/>
      <c r="G9" s="498" t="s">
        <v>68</v>
      </c>
    </row>
    <row r="10" spans="2:7" ht="15">
      <c r="B10" s="497" t="s">
        <v>3</v>
      </c>
      <c r="C10" s="498" t="s">
        <v>4</v>
      </c>
      <c r="D10" s="489"/>
      <c r="E10" s="579" t="s">
        <v>149</v>
      </c>
      <c r="F10" s="580"/>
      <c r="G10" s="502">
        <v>28000</v>
      </c>
    </row>
    <row r="11" spans="2:7" ht="11.25" customHeight="1">
      <c r="B11" s="497" t="s">
        <v>5</v>
      </c>
      <c r="C11" s="499" t="s">
        <v>65</v>
      </c>
      <c r="D11" s="489"/>
      <c r="E11" s="503" t="s">
        <v>6</v>
      </c>
      <c r="F11" s="504"/>
      <c r="G11" s="505">
        <f>G10*G8</f>
        <v>1120000</v>
      </c>
    </row>
    <row r="12" spans="2:7" ht="11.25" customHeight="1">
      <c r="B12" s="497" t="s">
        <v>7</v>
      </c>
      <c r="C12" s="498" t="s">
        <v>66</v>
      </c>
      <c r="D12" s="489"/>
      <c r="E12" s="579" t="s">
        <v>8</v>
      </c>
      <c r="F12" s="580"/>
      <c r="G12" s="498" t="s">
        <v>69</v>
      </c>
    </row>
    <row r="13" spans="2:7" ht="13.5" customHeight="1">
      <c r="B13" s="497" t="s">
        <v>9</v>
      </c>
      <c r="C13" s="498" t="s">
        <v>66</v>
      </c>
      <c r="D13" s="489"/>
      <c r="E13" s="579" t="s">
        <v>10</v>
      </c>
      <c r="F13" s="580"/>
      <c r="G13" s="498" t="s">
        <v>150</v>
      </c>
    </row>
    <row r="14" spans="2:7" ht="14.25" customHeight="1">
      <c r="B14" s="497" t="s">
        <v>11</v>
      </c>
      <c r="C14" s="500">
        <v>44197</v>
      </c>
      <c r="D14" s="489"/>
      <c r="E14" s="581" t="s">
        <v>12</v>
      </c>
      <c r="F14" s="582"/>
      <c r="G14" s="499" t="s">
        <v>151</v>
      </c>
    </row>
    <row r="15" spans="2:7" ht="12" customHeight="1">
      <c r="B15" s="490"/>
      <c r="C15" s="491"/>
      <c r="D15" s="488"/>
      <c r="E15" s="488"/>
      <c r="F15" s="488"/>
      <c r="G15" s="492"/>
    </row>
    <row r="16" spans="2:7" ht="12" customHeight="1">
      <c r="B16" s="573" t="s">
        <v>14</v>
      </c>
      <c r="C16" s="574"/>
      <c r="D16" s="574"/>
      <c r="E16" s="574"/>
      <c r="F16" s="574"/>
      <c r="G16" s="574"/>
    </row>
    <row r="17" spans="2:7" ht="12" customHeight="1">
      <c r="B17" s="488"/>
      <c r="C17" s="493"/>
      <c r="D17" s="493"/>
      <c r="E17" s="493"/>
      <c r="F17" s="488"/>
      <c r="G17" s="488"/>
    </row>
    <row r="18" spans="2:7" ht="12" customHeight="1">
      <c r="B18" s="524" t="s">
        <v>15</v>
      </c>
      <c r="C18" s="220"/>
      <c r="D18" s="221"/>
      <c r="E18" s="221"/>
      <c r="F18" s="221"/>
      <c r="G18" s="220"/>
    </row>
    <row r="19" spans="2:7" ht="24" customHeight="1">
      <c r="B19" s="506" t="s">
        <v>16</v>
      </c>
      <c r="C19" s="506" t="s">
        <v>17</v>
      </c>
      <c r="D19" s="506" t="s">
        <v>18</v>
      </c>
      <c r="E19" s="506" t="s">
        <v>19</v>
      </c>
      <c r="F19" s="506" t="s">
        <v>20</v>
      </c>
      <c r="G19" s="507" t="s">
        <v>21</v>
      </c>
    </row>
    <row r="20" spans="2:7" ht="12.75" customHeight="1">
      <c r="B20" s="222" t="s">
        <v>152</v>
      </c>
      <c r="C20" s="223" t="s">
        <v>22</v>
      </c>
      <c r="D20" s="224">
        <v>0.3</v>
      </c>
      <c r="E20" s="223" t="s">
        <v>153</v>
      </c>
      <c r="F20" s="122">
        <v>15000</v>
      </c>
      <c r="G20" s="122">
        <f t="shared" ref="G20:G25" si="0">D20*F20</f>
        <v>4500</v>
      </c>
    </row>
    <row r="21" spans="2:7" ht="14.25" customHeight="1">
      <c r="B21" s="222" t="s">
        <v>154</v>
      </c>
      <c r="C21" s="223" t="s">
        <v>22</v>
      </c>
      <c r="D21" s="224">
        <v>0.5</v>
      </c>
      <c r="E21" s="223" t="s">
        <v>153</v>
      </c>
      <c r="F21" s="122">
        <v>15000</v>
      </c>
      <c r="G21" s="122">
        <f t="shared" si="0"/>
        <v>7500</v>
      </c>
    </row>
    <row r="22" spans="2:7" ht="12.75" customHeight="1">
      <c r="B22" s="222" t="s">
        <v>155</v>
      </c>
      <c r="C22" s="223" t="s">
        <v>22</v>
      </c>
      <c r="D22" s="224">
        <v>0.8</v>
      </c>
      <c r="E22" s="223" t="s">
        <v>72</v>
      </c>
      <c r="F22" s="122">
        <v>15000</v>
      </c>
      <c r="G22" s="122">
        <f t="shared" si="0"/>
        <v>12000</v>
      </c>
    </row>
    <row r="23" spans="2:7" ht="12.75" customHeight="1">
      <c r="B23" s="225" t="s">
        <v>156</v>
      </c>
      <c r="C23" s="223" t="s">
        <v>22</v>
      </c>
      <c r="D23" s="226">
        <v>1</v>
      </c>
      <c r="E23" s="72" t="s">
        <v>72</v>
      </c>
      <c r="F23" s="122">
        <v>15000</v>
      </c>
      <c r="G23" s="74">
        <f t="shared" si="0"/>
        <v>15000</v>
      </c>
    </row>
    <row r="24" spans="2:7" ht="12" customHeight="1">
      <c r="B24" s="225" t="s">
        <v>157</v>
      </c>
      <c r="C24" s="223" t="s">
        <v>22</v>
      </c>
      <c r="D24" s="226">
        <v>0.4</v>
      </c>
      <c r="E24" s="72" t="s">
        <v>158</v>
      </c>
      <c r="F24" s="122">
        <v>15000</v>
      </c>
      <c r="G24" s="74">
        <f t="shared" si="0"/>
        <v>6000</v>
      </c>
    </row>
    <row r="25" spans="2:7" ht="12" customHeight="1">
      <c r="B25" s="513" t="s">
        <v>159</v>
      </c>
      <c r="C25" s="514" t="s">
        <v>22</v>
      </c>
      <c r="D25" s="515">
        <v>1</v>
      </c>
      <c r="E25" s="514" t="s">
        <v>158</v>
      </c>
      <c r="F25" s="516">
        <v>15000</v>
      </c>
      <c r="G25" s="516">
        <f t="shared" si="0"/>
        <v>15000</v>
      </c>
    </row>
    <row r="26" spans="2:7" ht="15">
      <c r="B26" s="509" t="s">
        <v>23</v>
      </c>
      <c r="C26" s="510"/>
      <c r="D26" s="511"/>
      <c r="E26" s="512"/>
      <c r="F26" s="509"/>
      <c r="G26" s="510">
        <f>SUM(G20:G25)</f>
        <v>60000</v>
      </c>
    </row>
    <row r="27" spans="2:7" ht="12" customHeight="1">
      <c r="B27" s="221"/>
      <c r="C27" s="220"/>
      <c r="D27" s="228"/>
      <c r="E27" s="228"/>
      <c r="F27" s="221"/>
      <c r="G27" s="220"/>
    </row>
    <row r="28" spans="2:7" ht="12" customHeight="1">
      <c r="B28" s="524" t="s">
        <v>24</v>
      </c>
      <c r="C28" s="220"/>
      <c r="D28" s="228"/>
      <c r="E28" s="228"/>
      <c r="F28" s="221"/>
      <c r="G28" s="220"/>
    </row>
    <row r="29" spans="2:7" ht="12" customHeight="1">
      <c r="B29" s="508" t="s">
        <v>16</v>
      </c>
      <c r="C29" s="507" t="s">
        <v>17</v>
      </c>
      <c r="D29" s="506" t="s">
        <v>18</v>
      </c>
      <c r="E29" s="508" t="s">
        <v>19</v>
      </c>
      <c r="F29" s="506" t="s">
        <v>20</v>
      </c>
      <c r="G29" s="519" t="s">
        <v>21</v>
      </c>
    </row>
    <row r="30" spans="2:7" ht="12" customHeight="1">
      <c r="B30" s="70" t="s">
        <v>160</v>
      </c>
      <c r="C30" s="227" t="s">
        <v>63</v>
      </c>
      <c r="D30" s="227">
        <v>1</v>
      </c>
      <c r="E30" s="227" t="s">
        <v>161</v>
      </c>
      <c r="F30" s="70">
        <v>20000</v>
      </c>
      <c r="G30" s="70">
        <f>D30*F30</f>
        <v>20000</v>
      </c>
    </row>
    <row r="31" spans="2:7" ht="12" customHeight="1">
      <c r="B31" s="517" t="s">
        <v>25</v>
      </c>
      <c r="C31" s="518"/>
      <c r="D31" s="518"/>
      <c r="E31" s="512"/>
      <c r="F31" s="509"/>
      <c r="G31" s="509">
        <f>SUM(G29:G30)</f>
        <v>20000</v>
      </c>
    </row>
    <row r="32" spans="2:7" ht="15">
      <c r="B32" s="221"/>
      <c r="C32" s="220"/>
      <c r="D32" s="228"/>
      <c r="E32" s="228"/>
      <c r="F32" s="221"/>
      <c r="G32" s="220"/>
    </row>
    <row r="33" spans="2:7" ht="12.75" customHeight="1">
      <c r="B33" s="524" t="s">
        <v>26</v>
      </c>
      <c r="C33" s="220"/>
      <c r="D33" s="228"/>
      <c r="E33" s="228"/>
      <c r="F33" s="221"/>
      <c r="G33" s="220"/>
    </row>
    <row r="34" spans="2:7" ht="30" customHeight="1">
      <c r="B34" s="508" t="s">
        <v>16</v>
      </c>
      <c r="C34" s="519" t="s">
        <v>17</v>
      </c>
      <c r="D34" s="508" t="s">
        <v>18</v>
      </c>
      <c r="E34" s="508" t="s">
        <v>19</v>
      </c>
      <c r="F34" s="506" t="s">
        <v>20</v>
      </c>
      <c r="G34" s="519" t="s">
        <v>21</v>
      </c>
    </row>
    <row r="35" spans="2:7" ht="12.75" customHeight="1">
      <c r="B35" s="229" t="s">
        <v>27</v>
      </c>
      <c r="C35" s="230" t="s">
        <v>162</v>
      </c>
      <c r="D35" s="231">
        <v>0.35</v>
      </c>
      <c r="E35" s="232" t="s">
        <v>163</v>
      </c>
      <c r="F35" s="74">
        <v>160000</v>
      </c>
      <c r="G35" s="229">
        <f>(D35*F35)*1.19</f>
        <v>66640</v>
      </c>
    </row>
    <row r="36" spans="2:7" ht="12.75" customHeight="1">
      <c r="B36" s="229" t="s">
        <v>120</v>
      </c>
      <c r="C36" s="230" t="s">
        <v>162</v>
      </c>
      <c r="D36" s="231">
        <v>0.25</v>
      </c>
      <c r="E36" s="232" t="s">
        <v>163</v>
      </c>
      <c r="F36" s="74">
        <v>160000</v>
      </c>
      <c r="G36" s="229">
        <f>(D36*F36)*1.19</f>
        <v>47600</v>
      </c>
    </row>
    <row r="37" spans="2:7" ht="12.75" customHeight="1">
      <c r="B37" s="229" t="s">
        <v>164</v>
      </c>
      <c r="C37" s="230" t="s">
        <v>162</v>
      </c>
      <c r="D37" s="231">
        <v>0.25</v>
      </c>
      <c r="E37" s="232" t="s">
        <v>153</v>
      </c>
      <c r="F37" s="74">
        <v>160000</v>
      </c>
      <c r="G37" s="229">
        <f>(D37*F37)*1.19</f>
        <v>47600</v>
      </c>
    </row>
    <row r="38" spans="2:7" ht="12.75" customHeight="1">
      <c r="B38" s="229" t="s">
        <v>165</v>
      </c>
      <c r="C38" s="230" t="s">
        <v>162</v>
      </c>
      <c r="D38" s="231">
        <v>0.25</v>
      </c>
      <c r="E38" s="232" t="s">
        <v>166</v>
      </c>
      <c r="F38" s="74">
        <v>280000</v>
      </c>
      <c r="G38" s="229">
        <f>(D38*F38)*1.19</f>
        <v>83300</v>
      </c>
    </row>
    <row r="39" spans="2:7" ht="25.5" customHeight="1">
      <c r="B39" s="509" t="s">
        <v>167</v>
      </c>
      <c r="C39" s="510"/>
      <c r="D39" s="512"/>
      <c r="E39" s="512"/>
      <c r="F39" s="509"/>
      <c r="G39" s="510">
        <f>SUM(G35:G38)</f>
        <v>245140</v>
      </c>
    </row>
    <row r="40" spans="2:7" ht="9.75" customHeight="1">
      <c r="B40" s="221"/>
      <c r="C40" s="220"/>
      <c r="D40" s="228"/>
      <c r="E40" s="228"/>
      <c r="F40" s="221"/>
      <c r="G40" s="220"/>
    </row>
    <row r="41" spans="2:7" ht="15">
      <c r="B41" s="524" t="s">
        <v>30</v>
      </c>
      <c r="C41" s="220"/>
      <c r="D41" s="228"/>
      <c r="E41" s="228"/>
      <c r="F41" s="221"/>
      <c r="G41" s="220"/>
    </row>
    <row r="42" spans="2:7" ht="22.5" customHeight="1">
      <c r="B42" s="506" t="s">
        <v>31</v>
      </c>
      <c r="C42" s="507" t="s">
        <v>32</v>
      </c>
      <c r="D42" s="506" t="s">
        <v>33</v>
      </c>
      <c r="E42" s="506" t="s">
        <v>19</v>
      </c>
      <c r="F42" s="506" t="s">
        <v>20</v>
      </c>
      <c r="G42" s="507" t="s">
        <v>21</v>
      </c>
    </row>
    <row r="43" spans="2:7" ht="12.75" customHeight="1">
      <c r="B43" s="522" t="s">
        <v>143</v>
      </c>
      <c r="C43" s="233"/>
      <c r="D43" s="72"/>
      <c r="E43" s="223"/>
      <c r="F43" s="74"/>
      <c r="G43" s="219"/>
    </row>
    <row r="44" spans="2:7" ht="12.75" customHeight="1">
      <c r="B44" s="74" t="s">
        <v>168</v>
      </c>
      <c r="C44" s="233" t="s">
        <v>169</v>
      </c>
      <c r="D44" s="72">
        <v>180</v>
      </c>
      <c r="E44" s="223" t="s">
        <v>170</v>
      </c>
      <c r="F44" s="74">
        <v>400</v>
      </c>
      <c r="G44" s="219">
        <f>(D44*F44)*1.19</f>
        <v>85680</v>
      </c>
    </row>
    <row r="45" spans="2:7" ht="15">
      <c r="B45" s="522" t="s">
        <v>34</v>
      </c>
      <c r="C45" s="233"/>
      <c r="D45" s="72"/>
      <c r="E45" s="223"/>
      <c r="F45" s="74"/>
      <c r="G45" s="219"/>
    </row>
    <row r="46" spans="2:7" ht="12.75" customHeight="1">
      <c r="B46" s="74" t="s">
        <v>171</v>
      </c>
      <c r="C46" s="233" t="s">
        <v>169</v>
      </c>
      <c r="D46" s="72">
        <v>200</v>
      </c>
      <c r="E46" s="72" t="s">
        <v>172</v>
      </c>
      <c r="F46" s="74">
        <v>360</v>
      </c>
      <c r="G46" s="219">
        <f t="shared" ref="G45:G51" si="1">(D46*F46)*1.19</f>
        <v>85680</v>
      </c>
    </row>
    <row r="47" spans="2:7" ht="12.75" customHeight="1">
      <c r="B47" s="74" t="s">
        <v>173</v>
      </c>
      <c r="C47" s="233" t="s">
        <v>169</v>
      </c>
      <c r="D47" s="72">
        <v>200</v>
      </c>
      <c r="E47" s="72" t="s">
        <v>174</v>
      </c>
      <c r="F47" s="74">
        <v>340</v>
      </c>
      <c r="G47" s="219">
        <f t="shared" si="1"/>
        <v>80920</v>
      </c>
    </row>
    <row r="48" spans="2:7" ht="12" customHeight="1">
      <c r="B48" s="222" t="s">
        <v>134</v>
      </c>
      <c r="C48" s="233"/>
      <c r="D48" s="72"/>
      <c r="E48" s="72"/>
      <c r="F48" s="74"/>
      <c r="G48" s="219"/>
    </row>
    <row r="49" spans="2:7" ht="12" customHeight="1">
      <c r="B49" s="74" t="s">
        <v>175</v>
      </c>
      <c r="C49" s="233" t="s">
        <v>176</v>
      </c>
      <c r="D49" s="234">
        <v>1</v>
      </c>
      <c r="E49" s="72" t="s">
        <v>28</v>
      </c>
      <c r="F49" s="74">
        <v>4500</v>
      </c>
      <c r="G49" s="219">
        <f t="shared" si="1"/>
        <v>5355</v>
      </c>
    </row>
    <row r="50" spans="2:7" ht="15">
      <c r="B50" s="235" t="s">
        <v>177</v>
      </c>
      <c r="C50" s="233" t="s">
        <v>178</v>
      </c>
      <c r="D50" s="72">
        <v>1</v>
      </c>
      <c r="E50" s="72" t="s">
        <v>28</v>
      </c>
      <c r="F50" s="74">
        <v>10000</v>
      </c>
      <c r="G50" s="219">
        <f t="shared" si="1"/>
        <v>11900</v>
      </c>
    </row>
    <row r="51" spans="2:7" ht="12.75" customHeight="1">
      <c r="B51" s="522" t="s">
        <v>37</v>
      </c>
      <c r="C51" s="233"/>
      <c r="D51" s="72"/>
      <c r="E51" s="72"/>
      <c r="F51" s="74"/>
      <c r="G51" s="219"/>
    </row>
    <row r="52" spans="2:7" ht="12.75" customHeight="1">
      <c r="B52" s="509" t="s">
        <v>181</v>
      </c>
      <c r="C52" s="510"/>
      <c r="D52" s="512"/>
      <c r="E52" s="512"/>
      <c r="F52" s="509"/>
      <c r="G52" s="510">
        <f>SUM(G43:G51)</f>
        <v>269535</v>
      </c>
    </row>
    <row r="53" spans="2:7" ht="12.75" customHeight="1">
      <c r="B53" s="236"/>
      <c r="C53" s="220"/>
      <c r="D53" s="228"/>
      <c r="E53" s="228"/>
      <c r="F53" s="221"/>
      <c r="G53" s="237"/>
    </row>
    <row r="54" spans="2:7" ht="12.75" customHeight="1">
      <c r="B54" s="524" t="s">
        <v>37</v>
      </c>
      <c r="C54" s="220"/>
      <c r="D54" s="228"/>
      <c r="E54" s="228"/>
      <c r="F54" s="221"/>
      <c r="G54" s="220"/>
    </row>
    <row r="55" spans="2:7" ht="24">
      <c r="B55" s="512" t="s">
        <v>38</v>
      </c>
      <c r="C55" s="523" t="s">
        <v>32</v>
      </c>
      <c r="D55" s="521" t="s">
        <v>33</v>
      </c>
      <c r="E55" s="512" t="s">
        <v>19</v>
      </c>
      <c r="F55" s="521" t="s">
        <v>20</v>
      </c>
      <c r="G55" s="510" t="s">
        <v>21</v>
      </c>
    </row>
    <row r="56" spans="2:7" ht="12.75" customHeight="1">
      <c r="B56" s="74" t="s">
        <v>179</v>
      </c>
      <c r="C56" s="233" t="s">
        <v>17</v>
      </c>
      <c r="D56" s="72">
        <v>70</v>
      </c>
      <c r="E56" s="72" t="s">
        <v>180</v>
      </c>
      <c r="F56" s="74">
        <v>250</v>
      </c>
      <c r="G56" s="219">
        <f t="shared" ref="G56" si="2">(D56*F56)*1.19</f>
        <v>20825</v>
      </c>
    </row>
    <row r="57" spans="2:7" ht="12.75" customHeight="1">
      <c r="B57" s="509" t="s">
        <v>39</v>
      </c>
      <c r="C57" s="510"/>
      <c r="D57" s="512"/>
      <c r="E57" s="512"/>
      <c r="F57" s="509"/>
      <c r="G57" s="510">
        <f>G56</f>
        <v>20825</v>
      </c>
    </row>
    <row r="58" spans="2:7" ht="6.75" customHeight="1">
      <c r="B58" s="236"/>
      <c r="C58" s="220"/>
      <c r="D58" s="228"/>
      <c r="E58" s="228"/>
      <c r="F58" s="221"/>
      <c r="G58" s="237"/>
    </row>
    <row r="59" spans="2:7" ht="12.75" customHeight="1">
      <c r="B59" s="538" t="s">
        <v>40</v>
      </c>
      <c r="C59" s="539"/>
      <c r="D59" s="540"/>
      <c r="E59" s="540"/>
      <c r="F59" s="541"/>
      <c r="G59" s="542">
        <f>G26+G30+G39+G52+G57</f>
        <v>615500</v>
      </c>
    </row>
    <row r="60" spans="2:7" ht="13.5" customHeight="1">
      <c r="B60" s="543" t="s">
        <v>41</v>
      </c>
      <c r="C60" s="528"/>
      <c r="D60" s="529"/>
      <c r="E60" s="529"/>
      <c r="F60" s="527"/>
      <c r="G60" s="544">
        <f>G59*5%</f>
        <v>30775</v>
      </c>
    </row>
    <row r="61" spans="2:7" ht="12" customHeight="1">
      <c r="B61" s="545" t="s">
        <v>42</v>
      </c>
      <c r="C61" s="525"/>
      <c r="D61" s="526"/>
      <c r="E61" s="526"/>
      <c r="F61" s="524"/>
      <c r="G61" s="546">
        <f>G59+G60</f>
        <v>646275</v>
      </c>
    </row>
    <row r="62" spans="2:7" ht="12" customHeight="1">
      <c r="B62" s="543" t="s">
        <v>43</v>
      </c>
      <c r="C62" s="528"/>
      <c r="D62" s="529"/>
      <c r="E62" s="529"/>
      <c r="F62" s="527"/>
      <c r="G62" s="544">
        <f>G11</f>
        <v>1120000</v>
      </c>
    </row>
    <row r="63" spans="2:7" ht="15">
      <c r="B63" s="547" t="s">
        <v>44</v>
      </c>
      <c r="C63" s="548"/>
      <c r="D63" s="549"/>
      <c r="E63" s="549"/>
      <c r="F63" s="550"/>
      <c r="G63" s="551">
        <f>G62-G61</f>
        <v>473725</v>
      </c>
    </row>
    <row r="64" spans="2:7" ht="12.75" customHeight="1">
      <c r="B64" s="238" t="s">
        <v>104</v>
      </c>
      <c r="C64" s="239"/>
      <c r="D64" s="240"/>
      <c r="E64" s="240"/>
      <c r="F64" s="240"/>
      <c r="G64" s="239"/>
    </row>
    <row r="65" spans="2:7" ht="12.75" customHeight="1">
      <c r="B65" s="36"/>
      <c r="C65" s="35"/>
      <c r="D65" s="35"/>
      <c r="E65" s="35"/>
      <c r="F65" s="35"/>
      <c r="G65" s="32"/>
    </row>
    <row r="66" spans="2:7" ht="12" customHeight="1">
      <c r="B66" s="494" t="s">
        <v>45</v>
      </c>
      <c r="C66" s="34"/>
      <c r="D66" s="34"/>
      <c r="E66" s="34"/>
      <c r="F66" s="34"/>
      <c r="G66" s="32"/>
    </row>
    <row r="67" spans="2:7" ht="12" customHeight="1">
      <c r="B67" s="530" t="s">
        <v>46</v>
      </c>
      <c r="C67" s="531"/>
      <c r="D67" s="531"/>
      <c r="E67" s="531"/>
      <c r="F67" s="531"/>
      <c r="G67" s="532"/>
    </row>
    <row r="68" spans="2:7" ht="12" customHeight="1">
      <c r="B68" s="533" t="s">
        <v>47</v>
      </c>
      <c r="C68" s="34"/>
      <c r="D68" s="34"/>
      <c r="E68" s="34"/>
      <c r="F68" s="34"/>
      <c r="G68" s="534"/>
    </row>
    <row r="69" spans="2:7" ht="12" customHeight="1">
      <c r="B69" s="533" t="s">
        <v>48</v>
      </c>
      <c r="C69" s="34"/>
      <c r="D69" s="34"/>
      <c r="E69" s="34"/>
      <c r="F69" s="34"/>
      <c r="G69" s="534"/>
    </row>
    <row r="70" spans="2:7" ht="12" customHeight="1">
      <c r="B70" s="533" t="s">
        <v>49</v>
      </c>
      <c r="C70" s="34"/>
      <c r="D70" s="34"/>
      <c r="E70" s="34"/>
      <c r="F70" s="34"/>
      <c r="G70" s="534"/>
    </row>
    <row r="71" spans="2:7" ht="12" customHeight="1">
      <c r="B71" s="533" t="s">
        <v>50</v>
      </c>
      <c r="C71" s="34"/>
      <c r="D71" s="34"/>
      <c r="E71" s="34"/>
      <c r="F71" s="34"/>
      <c r="G71" s="534"/>
    </row>
    <row r="72" spans="2:7" ht="12.75" customHeight="1">
      <c r="B72" s="535" t="s">
        <v>51</v>
      </c>
      <c r="C72" s="536"/>
      <c r="D72" s="536"/>
      <c r="E72" s="536"/>
      <c r="F72" s="536"/>
      <c r="G72" s="537"/>
    </row>
    <row r="73" spans="2:7" ht="12.75" customHeight="1">
      <c r="B73" s="46"/>
      <c r="C73" s="34"/>
      <c r="D73" s="34"/>
      <c r="E73" s="34"/>
      <c r="F73" s="34"/>
      <c r="G73" s="32"/>
    </row>
    <row r="74" spans="2:7" ht="15" customHeight="1">
      <c r="B74" s="575" t="s">
        <v>52</v>
      </c>
      <c r="C74" s="576"/>
      <c r="D74" s="495"/>
      <c r="E74" s="26"/>
      <c r="F74" s="26"/>
      <c r="G74" s="32"/>
    </row>
    <row r="75" spans="2:7" ht="12" customHeight="1">
      <c r="B75" s="552" t="s">
        <v>38</v>
      </c>
      <c r="C75" s="552" t="s">
        <v>53</v>
      </c>
      <c r="D75" s="553" t="s">
        <v>54</v>
      </c>
      <c r="E75" s="26"/>
      <c r="F75" s="26"/>
      <c r="G75" s="32"/>
    </row>
    <row r="76" spans="2:7" ht="12" customHeight="1">
      <c r="B76" s="554" t="s">
        <v>55</v>
      </c>
      <c r="C76" s="555">
        <f>G26</f>
        <v>60000</v>
      </c>
      <c r="D76" s="556">
        <f>(C76/C82)</f>
        <v>9.5930929730593972E-2</v>
      </c>
      <c r="E76" s="26"/>
      <c r="F76" s="26"/>
      <c r="G76" s="32"/>
    </row>
    <row r="77" spans="2:7" ht="12" customHeight="1">
      <c r="B77" s="554" t="s">
        <v>56</v>
      </c>
      <c r="C77" s="555">
        <f>G30</f>
        <v>20000</v>
      </c>
      <c r="D77" s="556">
        <f>C77/C82</f>
        <v>3.1976976576864657E-2</v>
      </c>
      <c r="E77" s="26"/>
      <c r="F77" s="26"/>
      <c r="G77" s="32"/>
    </row>
    <row r="78" spans="2:7" ht="12" customHeight="1">
      <c r="B78" s="554" t="s">
        <v>57</v>
      </c>
      <c r="C78" s="555">
        <f>G39</f>
        <v>245140</v>
      </c>
      <c r="D78" s="556">
        <f>(C78/C82)</f>
        <v>0.39194180190263012</v>
      </c>
      <c r="E78" s="26"/>
      <c r="F78" s="26"/>
      <c r="G78" s="32"/>
    </row>
    <row r="79" spans="2:7" ht="12" customHeight="1">
      <c r="B79" s="554" t="s">
        <v>31</v>
      </c>
      <c r="C79" s="555">
        <f>G52</f>
        <v>269535</v>
      </c>
      <c r="D79" s="556">
        <f>(C79/C82)</f>
        <v>0.43094571908226076</v>
      </c>
      <c r="E79" s="26"/>
      <c r="F79" s="26"/>
      <c r="G79" s="32"/>
    </row>
    <row r="80" spans="2:7" ht="12" customHeight="1">
      <c r="B80" s="554" t="s">
        <v>58</v>
      </c>
      <c r="C80" s="557"/>
      <c r="D80" s="556">
        <f>(C80/C82)</f>
        <v>0</v>
      </c>
      <c r="E80" s="31"/>
      <c r="F80" s="31"/>
      <c r="G80" s="32"/>
    </row>
    <row r="81" spans="2:7" ht="12" customHeight="1">
      <c r="B81" s="554" t="s">
        <v>59</v>
      </c>
      <c r="C81" s="557">
        <f>G60</f>
        <v>30775</v>
      </c>
      <c r="D81" s="556">
        <f>(C81/C82)</f>
        <v>4.9204572707650489E-2</v>
      </c>
      <c r="E81" s="31"/>
      <c r="F81" s="31"/>
      <c r="G81" s="32"/>
    </row>
    <row r="82" spans="2:7" ht="12.75" customHeight="1">
      <c r="B82" s="552" t="s">
        <v>60</v>
      </c>
      <c r="C82" s="101">
        <f>SUM(C76:C81)</f>
        <v>625450</v>
      </c>
      <c r="D82" s="558">
        <f>SUM(D76:D81)</f>
        <v>1</v>
      </c>
      <c r="E82" s="31"/>
      <c r="F82" s="31"/>
      <c r="G82" s="32"/>
    </row>
    <row r="83" spans="2:7" ht="12" customHeight="1">
      <c r="B83" s="36"/>
      <c r="C83" s="35"/>
      <c r="D83" s="35"/>
      <c r="E83" s="35"/>
      <c r="F83" s="35"/>
      <c r="G83" s="32"/>
    </row>
    <row r="84" spans="2:7" ht="12.75" customHeight="1">
      <c r="B84" s="37"/>
      <c r="C84" s="35"/>
      <c r="D84" s="35"/>
      <c r="E84" s="35"/>
      <c r="F84" s="35"/>
      <c r="G84" s="32"/>
    </row>
    <row r="85" spans="2:7" ht="12" customHeight="1">
      <c r="B85" s="59"/>
      <c r="C85" s="58" t="s">
        <v>61</v>
      </c>
      <c r="D85" s="59"/>
      <c r="E85" s="59"/>
      <c r="F85" s="31"/>
      <c r="G85" s="32"/>
    </row>
    <row r="86" spans="2:7" ht="12" customHeight="1">
      <c r="B86" s="552" t="s">
        <v>107</v>
      </c>
      <c r="C86" s="559">
        <v>30</v>
      </c>
      <c r="D86" s="559">
        <v>35</v>
      </c>
      <c r="E86" s="559">
        <v>40</v>
      </c>
      <c r="F86" s="56"/>
      <c r="G86" s="33"/>
    </row>
    <row r="87" spans="2:7" ht="15">
      <c r="B87" s="560" t="s">
        <v>207</v>
      </c>
      <c r="C87" s="101">
        <f>$G$61/C86</f>
        <v>21542.5</v>
      </c>
      <c r="D87" s="101">
        <f t="shared" ref="D87:E87" si="3">$G$61/D86</f>
        <v>18465</v>
      </c>
      <c r="E87" s="101">
        <f t="shared" si="3"/>
        <v>16156.875</v>
      </c>
      <c r="F87" s="56"/>
      <c r="G87" s="33"/>
    </row>
    <row r="88" spans="2:7" ht="15.6" customHeight="1">
      <c r="B88" s="47" t="s">
        <v>62</v>
      </c>
      <c r="C88" s="34"/>
      <c r="D88" s="34"/>
      <c r="E88" s="34"/>
      <c r="F88" s="34"/>
      <c r="G88" s="34"/>
    </row>
  </sheetData>
  <mergeCells count="8">
    <mergeCell ref="B16:G16"/>
    <mergeCell ref="B74:C74"/>
    <mergeCell ref="E8:F8"/>
    <mergeCell ref="E9:F9"/>
    <mergeCell ref="E10:F10"/>
    <mergeCell ref="E12:F12"/>
    <mergeCell ref="E13:F13"/>
    <mergeCell ref="E14:F14"/>
  </mergeCells>
  <pageMargins left="0.31496062992125984" right="0.31496062992125984" top="0.35433070866141736" bottom="0.35433070866141736" header="0.31496062992125984" footer="0.31496062992125984"/>
  <pageSetup paperSize="345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85"/>
  <sheetViews>
    <sheetView topLeftCell="A49" workbookViewId="0">
      <selection activeCell="L61" sqref="L61"/>
    </sheetView>
  </sheetViews>
  <sheetFormatPr baseColWidth="10" defaultColWidth="10.85546875" defaultRowHeight="11.25" customHeight="1"/>
  <cols>
    <col min="1" max="1" width="34.7109375" style="1" customWidth="1"/>
    <col min="2" max="2" width="22.140625" style="1" customWidth="1"/>
    <col min="3" max="3" width="9.42578125" style="1" customWidth="1"/>
    <col min="4" max="4" width="17.7109375" style="1" customWidth="1"/>
    <col min="5" max="5" width="11" style="1" customWidth="1"/>
    <col min="6" max="6" width="16.42578125" style="1" customWidth="1"/>
    <col min="7" max="254" width="10.85546875" style="1" customWidth="1"/>
  </cols>
  <sheetData>
    <row r="1" spans="1:6" ht="15" customHeight="1">
      <c r="A1" s="2"/>
      <c r="B1" s="2"/>
      <c r="C1" s="2"/>
      <c r="D1" s="2"/>
      <c r="E1" s="2"/>
      <c r="F1" s="2"/>
    </row>
    <row r="2" spans="1:6" ht="15" customHeight="1">
      <c r="A2" s="2"/>
      <c r="B2" s="2"/>
      <c r="C2" s="2"/>
      <c r="D2" s="2"/>
      <c r="E2" s="2"/>
      <c r="F2" s="2"/>
    </row>
    <row r="3" spans="1:6" ht="15" customHeight="1">
      <c r="A3" s="2"/>
      <c r="B3" s="2"/>
      <c r="C3" s="2"/>
      <c r="D3" s="2"/>
      <c r="E3" s="2"/>
      <c r="F3" s="2"/>
    </row>
    <row r="4" spans="1:6" ht="15" customHeight="1">
      <c r="A4" s="2"/>
      <c r="B4" s="2"/>
      <c r="C4" s="2"/>
      <c r="D4" s="2"/>
      <c r="E4" s="2"/>
      <c r="F4" s="2"/>
    </row>
    <row r="5" spans="1:6" ht="15" customHeight="1">
      <c r="A5" s="2"/>
      <c r="B5" s="2"/>
      <c r="C5" s="2"/>
      <c r="D5" s="2"/>
      <c r="E5" s="2"/>
      <c r="F5" s="2"/>
    </row>
    <row r="6" spans="1:6" ht="15" customHeight="1">
      <c r="A6" s="2"/>
      <c r="B6" s="2"/>
      <c r="C6" s="2"/>
      <c r="D6" s="2"/>
      <c r="E6" s="2"/>
      <c r="F6" s="2"/>
    </row>
    <row r="7" spans="1:6" ht="15" customHeight="1">
      <c r="A7" s="3"/>
      <c r="B7" s="4"/>
      <c r="C7" s="2"/>
      <c r="D7" s="4"/>
      <c r="E7" s="4"/>
      <c r="F7" s="4"/>
    </row>
    <row r="8" spans="1:6" ht="12" customHeight="1">
      <c r="A8" s="5" t="s">
        <v>0</v>
      </c>
      <c r="B8" s="300" t="s">
        <v>182</v>
      </c>
      <c r="C8" s="6"/>
      <c r="D8" s="565" t="s">
        <v>184</v>
      </c>
      <c r="E8" s="566"/>
      <c r="F8" s="241">
        <v>400</v>
      </c>
    </row>
    <row r="9" spans="1:6" ht="27" customHeight="1">
      <c r="A9" s="8" t="s">
        <v>1</v>
      </c>
      <c r="B9" s="243" t="s">
        <v>183</v>
      </c>
      <c r="C9" s="10"/>
      <c r="D9" s="563" t="s">
        <v>2</v>
      </c>
      <c r="E9" s="564"/>
      <c r="F9" s="11" t="s">
        <v>68</v>
      </c>
    </row>
    <row r="10" spans="1:6" ht="18" customHeight="1">
      <c r="A10" s="8" t="s">
        <v>3</v>
      </c>
      <c r="B10" s="11" t="s">
        <v>4</v>
      </c>
      <c r="C10" s="10"/>
      <c r="D10" s="563" t="s">
        <v>149</v>
      </c>
      <c r="E10" s="564"/>
      <c r="F10" s="134">
        <v>3800</v>
      </c>
    </row>
    <row r="11" spans="1:6" ht="11.25" customHeight="1">
      <c r="A11" s="8" t="s">
        <v>5</v>
      </c>
      <c r="B11" s="13" t="s">
        <v>65</v>
      </c>
      <c r="C11" s="10"/>
      <c r="D11" s="96" t="s">
        <v>6</v>
      </c>
      <c r="E11" s="97"/>
      <c r="F11" s="242">
        <f>F10*F8</f>
        <v>1520000</v>
      </c>
    </row>
    <row r="12" spans="1:6" ht="11.25" customHeight="1">
      <c r="A12" s="8" t="s">
        <v>7</v>
      </c>
      <c r="B12" s="11" t="s">
        <v>66</v>
      </c>
      <c r="C12" s="10"/>
      <c r="D12" s="563" t="s">
        <v>8</v>
      </c>
      <c r="E12" s="564"/>
      <c r="F12" s="11" t="s">
        <v>209</v>
      </c>
    </row>
    <row r="13" spans="1:6" ht="13.5" customHeight="1">
      <c r="A13" s="8" t="s">
        <v>9</v>
      </c>
      <c r="B13" s="11" t="s">
        <v>66</v>
      </c>
      <c r="C13" s="10"/>
      <c r="D13" s="563" t="s">
        <v>10</v>
      </c>
      <c r="E13" s="564"/>
      <c r="F13" s="11" t="s">
        <v>150</v>
      </c>
    </row>
    <row r="14" spans="1:6" ht="14.25" customHeight="1">
      <c r="A14" s="8" t="s">
        <v>11</v>
      </c>
      <c r="B14" s="17">
        <v>44197</v>
      </c>
      <c r="C14" s="10"/>
      <c r="D14" s="567" t="s">
        <v>12</v>
      </c>
      <c r="E14" s="568"/>
      <c r="F14" s="13" t="s">
        <v>151</v>
      </c>
    </row>
    <row r="15" spans="1:6" ht="12" customHeight="1">
      <c r="A15" s="18"/>
      <c r="B15" s="19"/>
      <c r="C15" s="20"/>
      <c r="D15" s="21"/>
      <c r="E15" s="21"/>
      <c r="F15" s="22"/>
    </row>
    <row r="16" spans="1:6" ht="12" customHeight="1">
      <c r="A16" s="569" t="s">
        <v>14</v>
      </c>
      <c r="B16" s="570"/>
      <c r="C16" s="570"/>
      <c r="D16" s="570"/>
      <c r="E16" s="570"/>
      <c r="F16" s="570"/>
    </row>
    <row r="17" spans="1:7" ht="12" customHeight="1">
      <c r="A17" s="23"/>
      <c r="B17" s="24"/>
      <c r="C17" s="24"/>
      <c r="D17" s="24"/>
      <c r="E17" s="25"/>
      <c r="F17" s="25"/>
    </row>
    <row r="18" spans="1:7" ht="12" customHeight="1">
      <c r="A18" s="244" t="s">
        <v>15</v>
      </c>
      <c r="B18" s="95"/>
      <c r="C18" s="95"/>
      <c r="D18" s="95"/>
      <c r="E18" s="95"/>
      <c r="F18" s="95"/>
      <c r="G18" s="197"/>
    </row>
    <row r="19" spans="1:7" ht="24" customHeight="1" thickBot="1">
      <c r="A19" s="245" t="s">
        <v>16</v>
      </c>
      <c r="B19" s="245" t="s">
        <v>17</v>
      </c>
      <c r="C19" s="245" t="s">
        <v>18</v>
      </c>
      <c r="D19" s="245" t="s">
        <v>19</v>
      </c>
      <c r="E19" s="245" t="s">
        <v>20</v>
      </c>
      <c r="F19" s="245" t="s">
        <v>21</v>
      </c>
      <c r="G19" s="197"/>
    </row>
    <row r="20" spans="1:7" ht="12.75" customHeight="1">
      <c r="A20" s="246" t="s">
        <v>185</v>
      </c>
      <c r="B20" s="177" t="s">
        <v>22</v>
      </c>
      <c r="C20" s="247">
        <v>0.5</v>
      </c>
      <c r="D20" s="177" t="s">
        <v>186</v>
      </c>
      <c r="E20" s="248">
        <v>15000</v>
      </c>
      <c r="F20" s="249">
        <f>E20*C20</f>
        <v>7500</v>
      </c>
      <c r="G20" s="250"/>
    </row>
    <row r="21" spans="1:7" ht="14.25" customHeight="1" thickBot="1">
      <c r="A21" s="251" t="s">
        <v>187</v>
      </c>
      <c r="B21" s="83" t="s">
        <v>22</v>
      </c>
      <c r="C21" s="252">
        <v>1</v>
      </c>
      <c r="D21" s="83" t="s">
        <v>186</v>
      </c>
      <c r="E21" s="253">
        <v>15000</v>
      </c>
      <c r="F21" s="254">
        <f>E21*C21</f>
        <v>15000</v>
      </c>
      <c r="G21" s="250"/>
    </row>
    <row r="22" spans="1:7" ht="12.75" customHeight="1">
      <c r="A22" s="251" t="s">
        <v>188</v>
      </c>
      <c r="B22" s="83" t="s">
        <v>22</v>
      </c>
      <c r="C22" s="252">
        <v>1</v>
      </c>
      <c r="D22" s="83" t="s">
        <v>189</v>
      </c>
      <c r="E22" s="248">
        <v>15000</v>
      </c>
      <c r="F22" s="254">
        <f>E22*C22</f>
        <v>15000</v>
      </c>
      <c r="G22" s="250"/>
    </row>
    <row r="23" spans="1:7" ht="12.75" customHeight="1" thickBot="1">
      <c r="A23" s="255" t="s">
        <v>190</v>
      </c>
      <c r="B23" s="188" t="s">
        <v>22</v>
      </c>
      <c r="C23" s="256">
        <v>0.5</v>
      </c>
      <c r="D23" s="188" t="s">
        <v>191</v>
      </c>
      <c r="E23" s="253">
        <v>15000</v>
      </c>
      <c r="F23" s="257">
        <f>E23*C23</f>
        <v>7500</v>
      </c>
      <c r="G23" s="250"/>
    </row>
    <row r="24" spans="1:7" ht="12" customHeight="1">
      <c r="A24" s="258" t="s">
        <v>23</v>
      </c>
      <c r="B24" s="259"/>
      <c r="C24" s="259"/>
      <c r="D24" s="259"/>
      <c r="E24" s="258"/>
      <c r="F24" s="260">
        <f>SUM(F20:F23)</f>
        <v>45000</v>
      </c>
      <c r="G24" s="250"/>
    </row>
    <row r="25" spans="1:7" ht="12" customHeight="1">
      <c r="A25" s="95"/>
      <c r="B25" s="261"/>
      <c r="C25" s="261"/>
      <c r="D25" s="261"/>
      <c r="E25" s="95"/>
      <c r="F25" s="95"/>
      <c r="G25" s="250"/>
    </row>
    <row r="26" spans="1:7" ht="24" customHeight="1">
      <c r="A26" s="244" t="s">
        <v>24</v>
      </c>
      <c r="B26" s="261"/>
      <c r="C26" s="261"/>
      <c r="D26" s="261"/>
      <c r="E26" s="95"/>
      <c r="F26" s="95"/>
      <c r="G26" s="250"/>
    </row>
    <row r="27" spans="1:7" ht="12" customHeight="1" thickBot="1">
      <c r="A27" s="262" t="s">
        <v>16</v>
      </c>
      <c r="B27" s="245" t="s">
        <v>17</v>
      </c>
      <c r="C27" s="245" t="s">
        <v>18</v>
      </c>
      <c r="D27" s="262" t="s">
        <v>19</v>
      </c>
      <c r="E27" s="245" t="s">
        <v>20</v>
      </c>
      <c r="F27" s="262" t="s">
        <v>21</v>
      </c>
      <c r="G27" s="250"/>
    </row>
    <row r="28" spans="1:7" ht="12" customHeight="1" thickBot="1">
      <c r="A28" s="263" t="s">
        <v>192</v>
      </c>
      <c r="B28" s="264" t="s">
        <v>63</v>
      </c>
      <c r="C28" s="264">
        <v>1</v>
      </c>
      <c r="D28" s="265" t="s">
        <v>163</v>
      </c>
      <c r="E28" s="266">
        <v>20000</v>
      </c>
      <c r="F28" s="267">
        <f>E28*C28</f>
        <v>20000</v>
      </c>
      <c r="G28" s="250"/>
    </row>
    <row r="29" spans="1:7" ht="12" customHeight="1">
      <c r="A29" s="258" t="s">
        <v>25</v>
      </c>
      <c r="B29" s="259"/>
      <c r="C29" s="259"/>
      <c r="D29" s="259"/>
      <c r="E29" s="258"/>
      <c r="F29" s="260">
        <f>SUM(F28)</f>
        <v>20000</v>
      </c>
      <c r="G29" s="250"/>
    </row>
    <row r="30" spans="1:7" ht="12" customHeight="1">
      <c r="A30" s="95"/>
      <c r="B30" s="261"/>
      <c r="C30" s="261"/>
      <c r="D30" s="261"/>
      <c r="E30" s="95"/>
      <c r="F30" s="95"/>
      <c r="G30" s="250"/>
    </row>
    <row r="31" spans="1:7" ht="24" customHeight="1">
      <c r="A31" s="244" t="s">
        <v>26</v>
      </c>
      <c r="B31" s="261"/>
      <c r="C31" s="261"/>
      <c r="D31" s="261"/>
      <c r="E31" s="95"/>
      <c r="F31" s="95"/>
      <c r="G31" s="250"/>
    </row>
    <row r="32" spans="1:7" ht="12.75" customHeight="1" thickBot="1">
      <c r="A32" s="262" t="s">
        <v>16</v>
      </c>
      <c r="B32" s="262" t="s">
        <v>17</v>
      </c>
      <c r="C32" s="262" t="s">
        <v>18</v>
      </c>
      <c r="D32" s="262" t="s">
        <v>19</v>
      </c>
      <c r="E32" s="245" t="s">
        <v>20</v>
      </c>
      <c r="F32" s="262" t="s">
        <v>21</v>
      </c>
      <c r="G32" s="250"/>
    </row>
    <row r="33" spans="1:7" ht="17.25" customHeight="1">
      <c r="A33" s="268" t="s">
        <v>27</v>
      </c>
      <c r="B33" s="269" t="s">
        <v>84</v>
      </c>
      <c r="C33" s="269">
        <v>2</v>
      </c>
      <c r="D33" s="269" t="s">
        <v>186</v>
      </c>
      <c r="E33" s="270">
        <v>25000</v>
      </c>
      <c r="F33" s="271">
        <f>(C33*E33)*1.19</f>
        <v>59500</v>
      </c>
      <c r="G33" s="250"/>
    </row>
    <row r="34" spans="1:7" ht="12.75" customHeight="1" thickBot="1">
      <c r="A34" s="272" t="s">
        <v>193</v>
      </c>
      <c r="B34" s="273" t="s">
        <v>84</v>
      </c>
      <c r="C34" s="273">
        <v>1</v>
      </c>
      <c r="D34" s="273" t="s">
        <v>186</v>
      </c>
      <c r="E34" s="274">
        <v>25000</v>
      </c>
      <c r="F34" s="275">
        <f>(C34*E34)*1.19</f>
        <v>29750</v>
      </c>
      <c r="G34" s="250"/>
    </row>
    <row r="35" spans="1:7" ht="12.75" customHeight="1">
      <c r="A35" s="258" t="s">
        <v>194</v>
      </c>
      <c r="B35" s="259"/>
      <c r="C35" s="259"/>
      <c r="D35" s="259"/>
      <c r="E35" s="258"/>
      <c r="F35" s="260">
        <f>SUM(F33:F34)</f>
        <v>89250</v>
      </c>
      <c r="G35" s="250"/>
    </row>
    <row r="36" spans="1:7" ht="12.75" customHeight="1">
      <c r="A36" s="95"/>
      <c r="B36" s="261"/>
      <c r="C36" s="261"/>
      <c r="D36" s="261"/>
      <c r="E36" s="95"/>
      <c r="F36" s="95"/>
      <c r="G36" s="250"/>
    </row>
    <row r="37" spans="1:7" ht="12.75" customHeight="1">
      <c r="A37" s="244" t="s">
        <v>30</v>
      </c>
      <c r="B37" s="261"/>
      <c r="C37" s="261"/>
      <c r="D37" s="261"/>
      <c r="E37" s="95"/>
      <c r="F37" s="95"/>
      <c r="G37" s="250"/>
    </row>
    <row r="38" spans="1:7" ht="25.5" customHeight="1" thickBot="1">
      <c r="A38" s="245" t="s">
        <v>31</v>
      </c>
      <c r="B38" s="245" t="s">
        <v>32</v>
      </c>
      <c r="C38" s="245" t="s">
        <v>33</v>
      </c>
      <c r="D38" s="245" t="s">
        <v>19</v>
      </c>
      <c r="E38" s="245" t="s">
        <v>20</v>
      </c>
      <c r="F38" s="276" t="s">
        <v>21</v>
      </c>
      <c r="G38" s="250"/>
    </row>
    <row r="39" spans="1:7" ht="18.75" customHeight="1">
      <c r="A39" s="277" t="s">
        <v>89</v>
      </c>
      <c r="B39" s="278"/>
      <c r="C39" s="278"/>
      <c r="D39" s="278"/>
      <c r="E39" s="279"/>
      <c r="F39" s="280"/>
      <c r="G39" s="250"/>
    </row>
    <row r="40" spans="1:7" ht="25.5" customHeight="1">
      <c r="A40" s="183" t="s">
        <v>195</v>
      </c>
      <c r="B40" s="83" t="s">
        <v>93</v>
      </c>
      <c r="C40" s="252">
        <v>2</v>
      </c>
      <c r="D40" s="281" t="s">
        <v>186</v>
      </c>
      <c r="E40" s="253">
        <v>9000</v>
      </c>
      <c r="F40" s="282">
        <f>(E40*C40)*1.19</f>
        <v>21420</v>
      </c>
      <c r="G40" s="250"/>
    </row>
    <row r="41" spans="1:7" ht="22.5" customHeight="1">
      <c r="A41" s="183" t="s">
        <v>196</v>
      </c>
      <c r="B41" s="83" t="s">
        <v>93</v>
      </c>
      <c r="C41" s="252">
        <v>1</v>
      </c>
      <c r="D41" s="281" t="s">
        <v>186</v>
      </c>
      <c r="E41" s="253">
        <v>10000</v>
      </c>
      <c r="F41" s="282">
        <f t="shared" ref="F41:F47" si="0">(E41*C41)*1.19</f>
        <v>11900</v>
      </c>
      <c r="G41" s="250"/>
    </row>
    <row r="42" spans="1:7" ht="12.75" customHeight="1">
      <c r="A42" s="186" t="s">
        <v>197</v>
      </c>
      <c r="B42" s="83"/>
      <c r="C42" s="252"/>
      <c r="D42" s="281"/>
      <c r="E42" s="253"/>
      <c r="F42" s="282"/>
      <c r="G42" s="250"/>
    </row>
    <row r="43" spans="1:7" ht="12.75" customHeight="1">
      <c r="A43" s="183" t="s">
        <v>198</v>
      </c>
      <c r="B43" s="83" t="s">
        <v>35</v>
      </c>
      <c r="C43" s="252">
        <v>25</v>
      </c>
      <c r="D43" s="281" t="s">
        <v>186</v>
      </c>
      <c r="E43" s="253">
        <v>4000</v>
      </c>
      <c r="F43" s="282">
        <f t="shared" si="0"/>
        <v>119000</v>
      </c>
      <c r="G43" s="250"/>
    </row>
    <row r="44" spans="1:7" ht="16.5" customHeight="1">
      <c r="A44" s="183" t="s">
        <v>199</v>
      </c>
      <c r="B44" s="83" t="s">
        <v>35</v>
      </c>
      <c r="C44" s="252">
        <v>10</v>
      </c>
      <c r="D44" s="281" t="s">
        <v>186</v>
      </c>
      <c r="E44" s="253">
        <v>2800</v>
      </c>
      <c r="F44" s="282">
        <f t="shared" si="0"/>
        <v>33320</v>
      </c>
      <c r="G44" s="250"/>
    </row>
    <row r="45" spans="1:7" ht="12.75" customHeight="1">
      <c r="A45" s="186" t="s">
        <v>34</v>
      </c>
      <c r="B45" s="83"/>
      <c r="C45" s="252"/>
      <c r="D45" s="281"/>
      <c r="E45" s="253"/>
      <c r="F45" s="282"/>
      <c r="G45" s="250"/>
    </row>
    <row r="46" spans="1:7" ht="12.75" customHeight="1">
      <c r="A46" s="183" t="s">
        <v>200</v>
      </c>
      <c r="B46" s="83" t="s">
        <v>35</v>
      </c>
      <c r="C46" s="252">
        <v>200</v>
      </c>
      <c r="D46" s="281" t="s">
        <v>186</v>
      </c>
      <c r="E46" s="253">
        <v>360</v>
      </c>
      <c r="F46" s="282">
        <f t="shared" si="0"/>
        <v>85680</v>
      </c>
      <c r="G46" s="250"/>
    </row>
    <row r="47" spans="1:7" ht="12" customHeight="1">
      <c r="A47" s="183" t="s">
        <v>201</v>
      </c>
      <c r="B47" s="83" t="s">
        <v>35</v>
      </c>
      <c r="C47" s="252">
        <v>100</v>
      </c>
      <c r="D47" s="281" t="s">
        <v>186</v>
      </c>
      <c r="E47" s="253">
        <v>360</v>
      </c>
      <c r="F47" s="282">
        <f t="shared" si="0"/>
        <v>42840</v>
      </c>
      <c r="G47" s="250"/>
    </row>
    <row r="48" spans="1:7" ht="12" customHeight="1" thickBot="1">
      <c r="A48" s="283" t="s">
        <v>37</v>
      </c>
      <c r="B48" s="188"/>
      <c r="C48" s="256"/>
      <c r="D48" s="188"/>
      <c r="E48" s="284"/>
      <c r="F48" s="285"/>
      <c r="G48" s="250"/>
    </row>
    <row r="49" spans="1:10" ht="24" customHeight="1">
      <c r="A49" s="258" t="s">
        <v>36</v>
      </c>
      <c r="B49" s="259"/>
      <c r="C49" s="259"/>
      <c r="D49" s="259"/>
      <c r="E49" s="260"/>
      <c r="F49" s="286">
        <f>SUM(F39:F48)</f>
        <v>314160</v>
      </c>
      <c r="G49" s="250"/>
      <c r="J49" s="62"/>
    </row>
    <row r="50" spans="1:10" ht="12.75" customHeight="1">
      <c r="A50" s="287"/>
      <c r="B50" s="261"/>
      <c r="C50" s="261"/>
      <c r="D50" s="261"/>
      <c r="E50" s="95"/>
      <c r="F50" s="287"/>
      <c r="G50" s="250"/>
      <c r="J50" s="62"/>
    </row>
    <row r="51" spans="1:10" ht="12.75" customHeight="1">
      <c r="A51" s="244" t="s">
        <v>37</v>
      </c>
      <c r="B51" s="261"/>
      <c r="C51" s="261"/>
      <c r="D51" s="261"/>
      <c r="E51" s="95"/>
      <c r="F51" s="95"/>
      <c r="G51" s="250"/>
    </row>
    <row r="52" spans="1:10" ht="30.75" customHeight="1" thickBot="1">
      <c r="A52" s="288" t="s">
        <v>38</v>
      </c>
      <c r="B52" s="276" t="s">
        <v>32</v>
      </c>
      <c r="C52" s="276" t="s">
        <v>33</v>
      </c>
      <c r="D52" s="288" t="s">
        <v>19</v>
      </c>
      <c r="E52" s="276" t="s">
        <v>20</v>
      </c>
      <c r="F52" s="288" t="s">
        <v>21</v>
      </c>
      <c r="G52" s="250"/>
    </row>
    <row r="53" spans="1:10" ht="12.75" customHeight="1" thickBot="1">
      <c r="A53" s="289" t="s">
        <v>202</v>
      </c>
      <c r="B53" s="290" t="s">
        <v>203</v>
      </c>
      <c r="C53" s="290">
        <v>400</v>
      </c>
      <c r="D53" s="291" t="s">
        <v>204</v>
      </c>
      <c r="E53" s="292">
        <v>900</v>
      </c>
      <c r="F53" s="293">
        <f>C53*E53*1.19</f>
        <v>428400</v>
      </c>
      <c r="G53" s="250"/>
    </row>
    <row r="54" spans="1:10" ht="12.75" customHeight="1">
      <c r="A54" s="294" t="s">
        <v>39</v>
      </c>
      <c r="B54" s="295"/>
      <c r="C54" s="295"/>
      <c r="D54" s="295"/>
      <c r="E54" s="294"/>
      <c r="F54" s="286">
        <f>SUM(F53)</f>
        <v>428400</v>
      </c>
      <c r="G54" s="250"/>
    </row>
    <row r="55" spans="1:10" ht="12.75" customHeight="1">
      <c r="A55" s="287"/>
      <c r="B55" s="261"/>
      <c r="C55" s="261"/>
      <c r="D55" s="261"/>
      <c r="E55" s="95"/>
      <c r="F55" s="287"/>
      <c r="G55" s="250"/>
    </row>
    <row r="56" spans="1:10" ht="12.75" customHeight="1">
      <c r="A56" s="296" t="s">
        <v>40</v>
      </c>
      <c r="B56" s="297"/>
      <c r="C56" s="297"/>
      <c r="D56" s="297"/>
      <c r="E56" s="298"/>
      <c r="F56" s="299">
        <f>F24+F29+F35+F49+F54</f>
        <v>896810</v>
      </c>
      <c r="G56" s="250"/>
    </row>
    <row r="57" spans="1:10" ht="12.75" customHeight="1">
      <c r="A57" s="296" t="s">
        <v>41</v>
      </c>
      <c r="B57" s="297"/>
      <c r="C57" s="297"/>
      <c r="D57" s="297"/>
      <c r="E57" s="298"/>
      <c r="F57" s="299">
        <f>F56*5%</f>
        <v>44840.5</v>
      </c>
      <c r="G57" s="250"/>
    </row>
    <row r="58" spans="1:10" ht="16.5" customHeight="1">
      <c r="A58" s="296" t="s">
        <v>42</v>
      </c>
      <c r="B58" s="297"/>
      <c r="C58" s="297"/>
      <c r="D58" s="297"/>
      <c r="E58" s="298"/>
      <c r="F58" s="299">
        <f>SUM(F56:F57)</f>
        <v>941650.5</v>
      </c>
      <c r="G58" s="250"/>
    </row>
    <row r="59" spans="1:10" ht="12.75" customHeight="1">
      <c r="A59" s="296" t="s">
        <v>43</v>
      </c>
      <c r="B59" s="297"/>
      <c r="C59" s="297"/>
      <c r="D59" s="297"/>
      <c r="E59" s="298"/>
      <c r="F59" s="299">
        <f>F11</f>
        <v>1520000</v>
      </c>
      <c r="G59" s="250"/>
    </row>
    <row r="60" spans="1:10" ht="13.5" customHeight="1">
      <c r="A60" s="296" t="s">
        <v>44</v>
      </c>
      <c r="B60" s="297"/>
      <c r="C60" s="297"/>
      <c r="D60" s="297"/>
      <c r="E60" s="298"/>
      <c r="F60" s="299">
        <f>F59-F58</f>
        <v>578349.5</v>
      </c>
      <c r="G60" s="250"/>
    </row>
    <row r="61" spans="1:10" ht="12.75" customHeight="1">
      <c r="A61" s="238" t="s">
        <v>104</v>
      </c>
      <c r="B61" s="239"/>
      <c r="C61" s="240"/>
      <c r="D61" s="240"/>
      <c r="E61" s="240"/>
      <c r="F61" s="239"/>
    </row>
    <row r="62" spans="1:10" ht="12.75" customHeight="1" thickBot="1">
      <c r="A62" s="36"/>
      <c r="B62" s="35"/>
      <c r="C62" s="35"/>
      <c r="D62" s="35"/>
      <c r="E62" s="35"/>
      <c r="F62" s="32"/>
    </row>
    <row r="63" spans="1:10" ht="12" customHeight="1">
      <c r="A63" s="48" t="s">
        <v>45</v>
      </c>
      <c r="B63" s="49"/>
      <c r="C63" s="49"/>
      <c r="D63" s="49"/>
      <c r="E63" s="50"/>
      <c r="F63" s="32"/>
    </row>
    <row r="64" spans="1:10" ht="12" customHeight="1">
      <c r="A64" s="51" t="s">
        <v>46</v>
      </c>
      <c r="B64" s="34"/>
      <c r="C64" s="34"/>
      <c r="D64" s="34"/>
      <c r="E64" s="52"/>
      <c r="F64" s="32"/>
    </row>
    <row r="65" spans="1:6" ht="12" customHeight="1">
      <c r="A65" s="51" t="s">
        <v>47</v>
      </c>
      <c r="B65" s="34"/>
      <c r="C65" s="34"/>
      <c r="D65" s="34"/>
      <c r="E65" s="52"/>
      <c r="F65" s="32"/>
    </row>
    <row r="66" spans="1:6" ht="12" customHeight="1">
      <c r="A66" s="51" t="s">
        <v>48</v>
      </c>
      <c r="B66" s="34"/>
      <c r="C66" s="34"/>
      <c r="D66" s="34"/>
      <c r="E66" s="52"/>
      <c r="F66" s="32"/>
    </row>
    <row r="67" spans="1:6" ht="12" customHeight="1">
      <c r="A67" s="51" t="s">
        <v>49</v>
      </c>
      <c r="B67" s="34"/>
      <c r="C67" s="34"/>
      <c r="D67" s="34"/>
      <c r="E67" s="52"/>
      <c r="F67" s="32"/>
    </row>
    <row r="68" spans="1:6" ht="12" customHeight="1">
      <c r="A68" s="51" t="s">
        <v>50</v>
      </c>
      <c r="B68" s="34"/>
      <c r="C68" s="34"/>
      <c r="D68" s="34"/>
      <c r="E68" s="52"/>
      <c r="F68" s="32"/>
    </row>
    <row r="69" spans="1:6" ht="12.75" customHeight="1" thickBot="1">
      <c r="A69" s="53" t="s">
        <v>51</v>
      </c>
      <c r="B69" s="54"/>
      <c r="C69" s="54"/>
      <c r="D69" s="54"/>
      <c r="E69" s="55"/>
      <c r="F69" s="32"/>
    </row>
    <row r="70" spans="1:6" ht="12.75" customHeight="1">
      <c r="A70" s="46"/>
      <c r="B70" s="34"/>
      <c r="C70" s="34"/>
      <c r="D70" s="34"/>
      <c r="E70" s="34"/>
      <c r="F70" s="32"/>
    </row>
    <row r="71" spans="1:6" ht="15" customHeight="1" thickBot="1">
      <c r="A71" s="561" t="s">
        <v>52</v>
      </c>
      <c r="B71" s="562"/>
      <c r="C71" s="45"/>
      <c r="D71" s="26"/>
      <c r="E71" s="26"/>
      <c r="F71" s="32"/>
    </row>
    <row r="72" spans="1:6" ht="12" customHeight="1">
      <c r="A72" s="38" t="s">
        <v>38</v>
      </c>
      <c r="B72" s="27" t="s">
        <v>53</v>
      </c>
      <c r="C72" s="39" t="s">
        <v>54</v>
      </c>
      <c r="D72" s="26"/>
      <c r="E72" s="26"/>
      <c r="F72" s="32"/>
    </row>
    <row r="73" spans="1:6" ht="12" customHeight="1">
      <c r="A73" s="40" t="s">
        <v>55</v>
      </c>
      <c r="B73" s="28">
        <f>F24</f>
        <v>45000</v>
      </c>
      <c r="C73" s="41">
        <f>(B73/B79)</f>
        <v>4.7788431058019935E-2</v>
      </c>
      <c r="D73" s="26"/>
      <c r="E73" s="26"/>
      <c r="F73" s="32"/>
    </row>
    <row r="74" spans="1:6" ht="12" customHeight="1">
      <c r="A74" s="40" t="s">
        <v>56</v>
      </c>
      <c r="B74" s="28">
        <f>F29</f>
        <v>20000</v>
      </c>
      <c r="C74" s="41">
        <f>B74/B79</f>
        <v>2.1239302692453305E-2</v>
      </c>
      <c r="D74" s="26"/>
      <c r="E74" s="26"/>
      <c r="F74" s="32"/>
    </row>
    <row r="75" spans="1:6" ht="12" customHeight="1">
      <c r="A75" s="40" t="s">
        <v>57</v>
      </c>
      <c r="B75" s="28">
        <f>F35</f>
        <v>89250</v>
      </c>
      <c r="C75" s="41">
        <f>(B75/B79)</f>
        <v>9.4780388265072874E-2</v>
      </c>
      <c r="D75" s="26"/>
      <c r="E75" s="26"/>
      <c r="F75" s="32"/>
    </row>
    <row r="76" spans="1:6" ht="12" customHeight="1">
      <c r="A76" s="40" t="s">
        <v>31</v>
      </c>
      <c r="B76" s="28">
        <f>F49</f>
        <v>314160</v>
      </c>
      <c r="C76" s="41">
        <f>(B76/B79)</f>
        <v>0.33362696669305653</v>
      </c>
      <c r="D76" s="26"/>
      <c r="E76" s="26"/>
      <c r="F76" s="32"/>
    </row>
    <row r="77" spans="1:6" ht="12" customHeight="1">
      <c r="A77" s="40" t="s">
        <v>58</v>
      </c>
      <c r="B77" s="29">
        <f>F54</f>
        <v>428400</v>
      </c>
      <c r="C77" s="41">
        <f>(B77/B79)</f>
        <v>0.45494586367234979</v>
      </c>
      <c r="D77" s="31"/>
      <c r="E77" s="31"/>
      <c r="F77" s="32"/>
    </row>
    <row r="78" spans="1:6" ht="12" customHeight="1">
      <c r="A78" s="40" t="s">
        <v>59</v>
      </c>
      <c r="B78" s="29">
        <f>F57</f>
        <v>44840.5</v>
      </c>
      <c r="C78" s="41">
        <f>(B78/B79)</f>
        <v>4.7619047619047616E-2</v>
      </c>
      <c r="D78" s="31"/>
      <c r="E78" s="31"/>
      <c r="F78" s="32"/>
    </row>
    <row r="79" spans="1:6" ht="12.75" customHeight="1" thickBot="1">
      <c r="A79" s="42" t="s">
        <v>60</v>
      </c>
      <c r="B79" s="43">
        <f>SUM(B73:B78)</f>
        <v>941650.5</v>
      </c>
      <c r="C79" s="44">
        <f>SUM(C73:C78)</f>
        <v>1</v>
      </c>
      <c r="D79" s="31"/>
      <c r="E79" s="31"/>
      <c r="F79" s="32"/>
    </row>
    <row r="80" spans="1:6" ht="12" customHeight="1">
      <c r="A80" s="36"/>
      <c r="B80" s="35"/>
      <c r="C80" s="35"/>
      <c r="D80" s="35"/>
      <c r="E80" s="35"/>
      <c r="F80" s="32"/>
    </row>
    <row r="81" spans="1:6" ht="12.75" customHeight="1">
      <c r="A81" s="37"/>
      <c r="B81" s="35"/>
      <c r="C81" s="35"/>
      <c r="D81" s="35"/>
      <c r="E81" s="35"/>
      <c r="F81" s="32"/>
    </row>
    <row r="82" spans="1:6" ht="12" customHeight="1" thickBot="1">
      <c r="A82" s="57"/>
      <c r="B82" s="58" t="s">
        <v>61</v>
      </c>
      <c r="C82" s="59"/>
      <c r="D82" s="60"/>
      <c r="E82" s="30"/>
      <c r="F82" s="32"/>
    </row>
    <row r="83" spans="1:6" ht="12" customHeight="1">
      <c r="A83" s="61" t="s">
        <v>205</v>
      </c>
      <c r="B83" s="99">
        <v>300</v>
      </c>
      <c r="C83" s="99">
        <v>350</v>
      </c>
      <c r="D83" s="100">
        <v>400</v>
      </c>
      <c r="E83" s="56"/>
      <c r="F83" s="33"/>
    </row>
    <row r="84" spans="1:6" ht="20.25" customHeight="1" thickBot="1">
      <c r="A84" s="102" t="s">
        <v>206</v>
      </c>
      <c r="B84" s="101">
        <f>$F$58/B83</f>
        <v>3138.835</v>
      </c>
      <c r="C84" s="101">
        <f t="shared" ref="C84:D84" si="1">$F$58/C83</f>
        <v>2690.43</v>
      </c>
      <c r="D84" s="101">
        <f t="shared" si="1"/>
        <v>2354.1262499999998</v>
      </c>
      <c r="E84" s="56"/>
      <c r="F84" s="33"/>
    </row>
    <row r="85" spans="1:6" ht="15.6" customHeight="1">
      <c r="A85" s="47" t="s">
        <v>62</v>
      </c>
      <c r="B85" s="34"/>
      <c r="C85" s="34"/>
      <c r="D85" s="34"/>
      <c r="E85" s="34"/>
      <c r="F85" s="34"/>
    </row>
  </sheetData>
  <mergeCells count="8">
    <mergeCell ref="A16:F16"/>
    <mergeCell ref="A71:B71"/>
    <mergeCell ref="D8:E8"/>
    <mergeCell ref="D9:E9"/>
    <mergeCell ref="D10:E10"/>
    <mergeCell ref="D12:E12"/>
    <mergeCell ref="D13:E13"/>
    <mergeCell ref="D14:E14"/>
  </mergeCells>
  <pageMargins left="0.7" right="0.7" top="0.75" bottom="0.75" header="0.3" footer="0.3"/>
  <pageSetup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89"/>
  <sheetViews>
    <sheetView workbookViewId="0">
      <selection sqref="A1:XFD1048576"/>
    </sheetView>
  </sheetViews>
  <sheetFormatPr baseColWidth="10" defaultColWidth="10.85546875" defaultRowHeight="11.25" customHeight="1"/>
  <cols>
    <col min="1" max="1" width="34.7109375" style="1" customWidth="1"/>
    <col min="2" max="2" width="19.42578125" style="1" customWidth="1"/>
    <col min="3" max="3" width="9.42578125" style="1" customWidth="1"/>
    <col min="4" max="4" width="17.7109375" style="1" customWidth="1"/>
    <col min="5" max="5" width="11" style="1" customWidth="1"/>
    <col min="6" max="6" width="19.5703125" style="1" customWidth="1"/>
    <col min="7" max="254" width="10.85546875" style="1" customWidth="1"/>
  </cols>
  <sheetData>
    <row r="1" spans="1:6" ht="15" customHeight="1">
      <c r="A1" s="2"/>
      <c r="B1" s="2"/>
      <c r="C1" s="2"/>
      <c r="D1" s="2"/>
      <c r="E1" s="2"/>
      <c r="F1" s="2"/>
    </row>
    <row r="2" spans="1:6" ht="15" customHeight="1">
      <c r="A2" s="2"/>
      <c r="B2" s="2"/>
      <c r="C2" s="2"/>
      <c r="D2" s="2"/>
      <c r="E2" s="2"/>
      <c r="F2" s="2"/>
    </row>
    <row r="3" spans="1:6" ht="15" customHeight="1">
      <c r="A3" s="2"/>
      <c r="B3" s="2"/>
      <c r="C3" s="2"/>
      <c r="D3" s="2"/>
      <c r="E3" s="2"/>
      <c r="F3" s="2"/>
    </row>
    <row r="4" spans="1:6" ht="15" customHeight="1">
      <c r="A4" s="2"/>
      <c r="B4" s="2"/>
      <c r="C4" s="2"/>
      <c r="D4" s="2"/>
      <c r="E4" s="2"/>
      <c r="F4" s="2"/>
    </row>
    <row r="5" spans="1:6" ht="15" customHeight="1">
      <c r="A5" s="2"/>
      <c r="B5" s="2"/>
      <c r="C5" s="2"/>
      <c r="D5" s="2"/>
      <c r="E5" s="2"/>
      <c r="F5" s="2"/>
    </row>
    <row r="6" spans="1:6" ht="15" customHeight="1">
      <c r="A6" s="2"/>
      <c r="B6" s="2"/>
      <c r="C6" s="2"/>
      <c r="D6" s="2"/>
      <c r="E6" s="2"/>
      <c r="F6" s="2"/>
    </row>
    <row r="7" spans="1:6" ht="15" customHeight="1">
      <c r="A7" s="3"/>
      <c r="B7" s="4"/>
      <c r="C7" s="2"/>
      <c r="D7" s="4"/>
      <c r="E7" s="4"/>
      <c r="F7" s="4"/>
    </row>
    <row r="8" spans="1:6" ht="12" customHeight="1">
      <c r="A8" s="5" t="s">
        <v>0</v>
      </c>
      <c r="B8" s="301" t="s">
        <v>210</v>
      </c>
      <c r="C8" s="6"/>
      <c r="D8" s="565" t="s">
        <v>148</v>
      </c>
      <c r="E8" s="566"/>
      <c r="F8" s="241">
        <v>40</v>
      </c>
    </row>
    <row r="9" spans="1:6" ht="18" customHeight="1">
      <c r="A9" s="8" t="s">
        <v>1</v>
      </c>
      <c r="B9" s="302" t="s">
        <v>211</v>
      </c>
      <c r="C9" s="10"/>
      <c r="D9" s="563" t="s">
        <v>2</v>
      </c>
      <c r="E9" s="564"/>
      <c r="F9" s="11" t="s">
        <v>68</v>
      </c>
    </row>
    <row r="10" spans="1:6" ht="18" customHeight="1">
      <c r="A10" s="8" t="s">
        <v>3</v>
      </c>
      <c r="B10" s="218" t="s">
        <v>4</v>
      </c>
      <c r="C10" s="10"/>
      <c r="D10" s="563" t="s">
        <v>149</v>
      </c>
      <c r="E10" s="564"/>
      <c r="F10" s="134">
        <v>20000</v>
      </c>
    </row>
    <row r="11" spans="1:6" ht="11.25" customHeight="1">
      <c r="A11" s="8" t="s">
        <v>5</v>
      </c>
      <c r="B11" s="303" t="s">
        <v>65</v>
      </c>
      <c r="C11" s="10"/>
      <c r="D11" s="96" t="s">
        <v>6</v>
      </c>
      <c r="E11" s="97"/>
      <c r="F11" s="242">
        <f>F10*F8</f>
        <v>800000</v>
      </c>
    </row>
    <row r="12" spans="1:6" ht="11.25" customHeight="1">
      <c r="A12" s="8" t="s">
        <v>7</v>
      </c>
      <c r="B12" s="218" t="s">
        <v>66</v>
      </c>
      <c r="C12" s="10"/>
      <c r="D12" s="563" t="s">
        <v>8</v>
      </c>
      <c r="E12" s="564"/>
      <c r="F12" s="11" t="s">
        <v>223</v>
      </c>
    </row>
    <row r="13" spans="1:6" ht="13.5" customHeight="1">
      <c r="A13" s="8" t="s">
        <v>9</v>
      </c>
      <c r="B13" s="218" t="s">
        <v>66</v>
      </c>
      <c r="C13" s="10"/>
      <c r="D13" s="563" t="s">
        <v>10</v>
      </c>
      <c r="E13" s="564"/>
      <c r="F13" s="11" t="s">
        <v>212</v>
      </c>
    </row>
    <row r="14" spans="1:6" ht="14.25" customHeight="1">
      <c r="A14" s="8" t="s">
        <v>11</v>
      </c>
      <c r="B14" s="304">
        <v>44197</v>
      </c>
      <c r="C14" s="10"/>
      <c r="D14" s="567" t="s">
        <v>12</v>
      </c>
      <c r="E14" s="568"/>
      <c r="F14" s="13" t="s">
        <v>151</v>
      </c>
    </row>
    <row r="15" spans="1:6" ht="12" customHeight="1">
      <c r="A15" s="18"/>
      <c r="B15" s="19"/>
      <c r="C15" s="20"/>
      <c r="D15" s="21"/>
      <c r="E15" s="21"/>
      <c r="F15" s="22"/>
    </row>
    <row r="16" spans="1:6" ht="12" customHeight="1">
      <c r="A16" s="569" t="s">
        <v>14</v>
      </c>
      <c r="B16" s="570"/>
      <c r="C16" s="570"/>
      <c r="D16" s="570"/>
      <c r="E16" s="570"/>
      <c r="F16" s="570"/>
    </row>
    <row r="17" spans="1:7" ht="12" customHeight="1">
      <c r="A17" s="23"/>
      <c r="B17" s="24"/>
      <c r="C17" s="24"/>
      <c r="D17" s="24"/>
      <c r="E17" s="25"/>
      <c r="F17" s="25"/>
    </row>
    <row r="18" spans="1:7" ht="12" customHeight="1">
      <c r="A18" s="94" t="s">
        <v>15</v>
      </c>
      <c r="B18" s="238"/>
      <c r="C18" s="238"/>
      <c r="D18" s="238"/>
      <c r="E18" s="238"/>
      <c r="F18" s="238"/>
      <c r="G18" s="238"/>
    </row>
    <row r="19" spans="1:7" ht="24" customHeight="1">
      <c r="A19" s="305" t="s">
        <v>16</v>
      </c>
      <c r="B19" s="305" t="s">
        <v>17</v>
      </c>
      <c r="C19" s="305" t="s">
        <v>18</v>
      </c>
      <c r="D19" s="305" t="s">
        <v>19</v>
      </c>
      <c r="E19" s="305" t="s">
        <v>20</v>
      </c>
      <c r="F19" s="305" t="s">
        <v>21</v>
      </c>
      <c r="G19" s="238"/>
    </row>
    <row r="20" spans="1:7" ht="12.75" customHeight="1">
      <c r="A20" s="222" t="s">
        <v>152</v>
      </c>
      <c r="B20" s="223" t="s">
        <v>22</v>
      </c>
      <c r="C20" s="224">
        <v>0.3</v>
      </c>
      <c r="D20" s="223" t="s">
        <v>153</v>
      </c>
      <c r="E20" s="122">
        <v>15000</v>
      </c>
      <c r="F20" s="122">
        <f t="shared" ref="F20:F25" si="0">C20*E20</f>
        <v>4500</v>
      </c>
      <c r="G20" s="306"/>
    </row>
    <row r="21" spans="1:7" ht="14.25" customHeight="1">
      <c r="A21" s="222" t="s">
        <v>154</v>
      </c>
      <c r="B21" s="223" t="s">
        <v>22</v>
      </c>
      <c r="C21" s="223">
        <v>0.5</v>
      </c>
      <c r="D21" s="223" t="s">
        <v>153</v>
      </c>
      <c r="E21" s="122">
        <v>15000</v>
      </c>
      <c r="F21" s="122">
        <f t="shared" si="0"/>
        <v>7500</v>
      </c>
      <c r="G21" s="306"/>
    </row>
    <row r="22" spans="1:7" ht="12.75" customHeight="1">
      <c r="A22" s="222" t="s">
        <v>155</v>
      </c>
      <c r="B22" s="223" t="s">
        <v>22</v>
      </c>
      <c r="C22" s="223">
        <v>0.8</v>
      </c>
      <c r="D22" s="223" t="s">
        <v>72</v>
      </c>
      <c r="E22" s="122">
        <v>15000</v>
      </c>
      <c r="F22" s="122">
        <f t="shared" si="0"/>
        <v>12000</v>
      </c>
      <c r="G22" s="306"/>
    </row>
    <row r="23" spans="1:7" ht="12.75" customHeight="1">
      <c r="A23" s="307" t="s">
        <v>156</v>
      </c>
      <c r="B23" s="223" t="s">
        <v>22</v>
      </c>
      <c r="C23" s="308">
        <v>1</v>
      </c>
      <c r="D23" s="72" t="s">
        <v>72</v>
      </c>
      <c r="E23" s="122">
        <v>15000</v>
      </c>
      <c r="F23" s="74">
        <f t="shared" si="0"/>
        <v>15000</v>
      </c>
      <c r="G23" s="306"/>
    </row>
    <row r="24" spans="1:7" ht="12" customHeight="1">
      <c r="A24" s="307" t="s">
        <v>157</v>
      </c>
      <c r="B24" s="223" t="s">
        <v>22</v>
      </c>
      <c r="C24" s="309">
        <v>0.4</v>
      </c>
      <c r="D24" s="308" t="s">
        <v>213</v>
      </c>
      <c r="E24" s="122">
        <v>15000</v>
      </c>
      <c r="F24" s="74">
        <f t="shared" si="0"/>
        <v>6000</v>
      </c>
      <c r="G24" s="306"/>
    </row>
    <row r="25" spans="1:7" ht="12" customHeight="1">
      <c r="A25" s="310" t="s">
        <v>159</v>
      </c>
      <c r="B25" s="311" t="s">
        <v>22</v>
      </c>
      <c r="C25" s="311">
        <v>2</v>
      </c>
      <c r="D25" s="308" t="s">
        <v>213</v>
      </c>
      <c r="E25" s="122">
        <v>15000</v>
      </c>
      <c r="F25" s="312">
        <f t="shared" si="0"/>
        <v>30000</v>
      </c>
      <c r="G25" s="306"/>
    </row>
    <row r="26" spans="1:7" ht="24" customHeight="1">
      <c r="A26" s="94" t="s">
        <v>23</v>
      </c>
      <c r="B26" s="313"/>
      <c r="C26" s="313"/>
      <c r="D26" s="313"/>
      <c r="E26" s="94"/>
      <c r="F26" s="94">
        <f>SUM(F20:F25)</f>
        <v>75000</v>
      </c>
      <c r="G26" s="306"/>
    </row>
    <row r="27" spans="1:7" ht="12" customHeight="1">
      <c r="A27" s="238"/>
      <c r="B27" s="314"/>
      <c r="C27" s="314"/>
      <c r="D27" s="314"/>
      <c r="E27" s="238"/>
      <c r="F27" s="238"/>
      <c r="G27" s="306"/>
    </row>
    <row r="28" spans="1:7" ht="12" customHeight="1">
      <c r="A28" s="94" t="s">
        <v>24</v>
      </c>
      <c r="B28" s="314"/>
      <c r="C28" s="314"/>
      <c r="D28" s="314"/>
      <c r="E28" s="238"/>
      <c r="F28" s="238"/>
      <c r="G28" s="306"/>
    </row>
    <row r="29" spans="1:7" ht="12" customHeight="1">
      <c r="A29" s="313" t="s">
        <v>16</v>
      </c>
      <c r="B29" s="305" t="s">
        <v>17</v>
      </c>
      <c r="C29" s="305" t="s">
        <v>18</v>
      </c>
      <c r="D29" s="313" t="s">
        <v>19</v>
      </c>
      <c r="E29" s="305" t="s">
        <v>20</v>
      </c>
      <c r="F29" s="313" t="s">
        <v>21</v>
      </c>
      <c r="G29" s="306"/>
    </row>
    <row r="30" spans="1:7" ht="12" customHeight="1">
      <c r="A30" s="312" t="s">
        <v>214</v>
      </c>
      <c r="B30" s="311" t="s">
        <v>63</v>
      </c>
      <c r="C30" s="311">
        <v>1</v>
      </c>
      <c r="D30" s="308" t="s">
        <v>213</v>
      </c>
      <c r="E30" s="312">
        <v>20000</v>
      </c>
      <c r="F30" s="312">
        <f>C30*E30</f>
        <v>20000</v>
      </c>
      <c r="G30" s="306"/>
    </row>
    <row r="31" spans="1:7" ht="24" customHeight="1">
      <c r="A31" s="94" t="s">
        <v>25</v>
      </c>
      <c r="B31" s="313"/>
      <c r="C31" s="313"/>
      <c r="D31" s="313"/>
      <c r="E31" s="94"/>
      <c r="F31" s="94">
        <f>F30</f>
        <v>20000</v>
      </c>
      <c r="G31" s="306"/>
    </row>
    <row r="32" spans="1:7" ht="12.75" customHeight="1">
      <c r="A32" s="238"/>
      <c r="B32" s="314"/>
      <c r="C32" s="314"/>
      <c r="D32" s="314"/>
      <c r="E32" s="238"/>
      <c r="F32" s="238"/>
      <c r="G32" s="306"/>
    </row>
    <row r="33" spans="1:7" ht="30" customHeight="1">
      <c r="A33" s="94" t="s">
        <v>26</v>
      </c>
      <c r="B33" s="314"/>
      <c r="C33" s="314"/>
      <c r="D33" s="314"/>
      <c r="E33" s="238"/>
      <c r="F33" s="238"/>
      <c r="G33" s="306"/>
    </row>
    <row r="34" spans="1:7" ht="12.75" customHeight="1">
      <c r="A34" s="313" t="s">
        <v>16</v>
      </c>
      <c r="B34" s="313" t="s">
        <v>17</v>
      </c>
      <c r="C34" s="313" t="s">
        <v>18</v>
      </c>
      <c r="D34" s="313" t="s">
        <v>19</v>
      </c>
      <c r="E34" s="305" t="s">
        <v>20</v>
      </c>
      <c r="F34" s="313" t="s">
        <v>21</v>
      </c>
      <c r="G34" s="306"/>
    </row>
    <row r="35" spans="1:7" ht="12.75" customHeight="1">
      <c r="A35" s="315" t="s">
        <v>27</v>
      </c>
      <c r="B35" s="316" t="s">
        <v>162</v>
      </c>
      <c r="C35" s="317">
        <v>0.35</v>
      </c>
      <c r="D35" s="318" t="s">
        <v>163</v>
      </c>
      <c r="E35" s="319">
        <v>160000</v>
      </c>
      <c r="F35" s="315">
        <f>(C35*E35)*1.19</f>
        <v>66640</v>
      </c>
      <c r="G35" s="306"/>
    </row>
    <row r="36" spans="1:7" ht="12.75" customHeight="1">
      <c r="A36" s="315" t="s">
        <v>120</v>
      </c>
      <c r="B36" s="316" t="s">
        <v>162</v>
      </c>
      <c r="C36" s="317">
        <v>0.2</v>
      </c>
      <c r="D36" s="318" t="s">
        <v>163</v>
      </c>
      <c r="E36" s="319">
        <v>160000</v>
      </c>
      <c r="F36" s="315">
        <f>(C36*E36)*1.19</f>
        <v>38080</v>
      </c>
      <c r="G36" s="306"/>
    </row>
    <row r="37" spans="1:7" ht="12.75" customHeight="1">
      <c r="A37" s="315" t="s">
        <v>164</v>
      </c>
      <c r="B37" s="316" t="s">
        <v>162</v>
      </c>
      <c r="C37" s="317">
        <v>0.2</v>
      </c>
      <c r="D37" s="318" t="s">
        <v>153</v>
      </c>
      <c r="E37" s="319">
        <v>160000</v>
      </c>
      <c r="F37" s="315">
        <f>(C37*E37)*1.19</f>
        <v>38080</v>
      </c>
      <c r="G37" s="306"/>
    </row>
    <row r="38" spans="1:7" ht="25.5" customHeight="1">
      <c r="A38" s="315" t="s">
        <v>165</v>
      </c>
      <c r="B38" s="318" t="s">
        <v>162</v>
      </c>
      <c r="C38" s="317">
        <v>0.2</v>
      </c>
      <c r="D38" s="308" t="s">
        <v>213</v>
      </c>
      <c r="E38" s="319">
        <v>280000</v>
      </c>
      <c r="F38" s="315">
        <f>(C38*E38)*1.19</f>
        <v>66640</v>
      </c>
      <c r="G38" s="306"/>
    </row>
    <row r="39" spans="1:7" ht="9.75" customHeight="1">
      <c r="A39" s="94" t="s">
        <v>194</v>
      </c>
      <c r="B39" s="313"/>
      <c r="C39" s="313"/>
      <c r="D39" s="313"/>
      <c r="E39" s="94"/>
      <c r="F39" s="94">
        <f>SUM(F35:F38)</f>
        <v>209440</v>
      </c>
      <c r="G39" s="306"/>
    </row>
    <row r="40" spans="1:7" ht="25.5" customHeight="1">
      <c r="A40" s="238"/>
      <c r="B40" s="314"/>
      <c r="C40" s="314"/>
      <c r="D40" s="314"/>
      <c r="E40" s="238"/>
      <c r="F40" s="238"/>
      <c r="G40" s="306"/>
    </row>
    <row r="41" spans="1:7" ht="22.5" customHeight="1">
      <c r="A41" s="94" t="s">
        <v>30</v>
      </c>
      <c r="B41" s="314"/>
      <c r="C41" s="314"/>
      <c r="D41" s="314"/>
      <c r="E41" s="238"/>
      <c r="F41" s="238"/>
      <c r="G41" s="306"/>
    </row>
    <row r="42" spans="1:7" ht="12.75" customHeight="1">
      <c r="A42" s="305" t="s">
        <v>31</v>
      </c>
      <c r="B42" s="305" t="s">
        <v>32</v>
      </c>
      <c r="C42" s="305" t="s">
        <v>33</v>
      </c>
      <c r="D42" s="305" t="s">
        <v>19</v>
      </c>
      <c r="E42" s="305" t="s">
        <v>20</v>
      </c>
      <c r="F42" s="305" t="s">
        <v>21</v>
      </c>
      <c r="G42" s="306"/>
    </row>
    <row r="43" spans="1:7" ht="12.75" customHeight="1">
      <c r="A43" s="74" t="s">
        <v>143</v>
      </c>
      <c r="B43" s="72"/>
      <c r="C43" s="308"/>
      <c r="D43" s="320"/>
      <c r="E43" s="321"/>
      <c r="F43" s="88"/>
      <c r="G43" s="306"/>
    </row>
    <row r="44" spans="1:7" ht="25.5" customHeight="1">
      <c r="A44" s="74" t="s">
        <v>215</v>
      </c>
      <c r="B44" s="72" t="s">
        <v>216</v>
      </c>
      <c r="C44" s="308">
        <v>160</v>
      </c>
      <c r="D44" s="320" t="s">
        <v>153</v>
      </c>
      <c r="E44" s="321">
        <v>180</v>
      </c>
      <c r="F44" s="88">
        <f>(E44*C44)*1.19</f>
        <v>34272</v>
      </c>
      <c r="G44" s="306"/>
    </row>
    <row r="45" spans="1:7" ht="12.75" customHeight="1">
      <c r="A45" s="74" t="s">
        <v>34</v>
      </c>
      <c r="B45" s="72"/>
      <c r="C45" s="308"/>
      <c r="D45" s="72"/>
      <c r="E45" s="321"/>
      <c r="F45" s="88"/>
      <c r="G45" s="306"/>
    </row>
    <row r="46" spans="1:7" ht="12.75" customHeight="1">
      <c r="A46" s="74" t="s">
        <v>217</v>
      </c>
      <c r="B46" s="72" t="s">
        <v>216</v>
      </c>
      <c r="C46" s="308">
        <v>200</v>
      </c>
      <c r="D46" s="72" t="s">
        <v>153</v>
      </c>
      <c r="E46" s="321">
        <v>400</v>
      </c>
      <c r="F46" s="88">
        <f>(E46*C46)*1.19</f>
        <v>95200</v>
      </c>
      <c r="G46" s="306"/>
    </row>
    <row r="47" spans="1:7" ht="12" customHeight="1">
      <c r="A47" s="74" t="s">
        <v>201</v>
      </c>
      <c r="B47" s="72" t="s">
        <v>216</v>
      </c>
      <c r="C47" s="308">
        <v>150</v>
      </c>
      <c r="D47" s="72" t="s">
        <v>218</v>
      </c>
      <c r="E47" s="321">
        <v>360</v>
      </c>
      <c r="F47" s="88">
        <f>(E47*C47)*1.19</f>
        <v>64260</v>
      </c>
      <c r="G47" s="306"/>
    </row>
    <row r="48" spans="1:7" ht="12" customHeight="1">
      <c r="A48" s="74" t="s">
        <v>134</v>
      </c>
      <c r="B48" s="72"/>
      <c r="C48" s="308"/>
      <c r="D48" s="72"/>
      <c r="E48" s="321"/>
      <c r="F48" s="88"/>
      <c r="G48" s="306"/>
    </row>
    <row r="49" spans="1:10" ht="24" customHeight="1">
      <c r="A49" s="322" t="s">
        <v>177</v>
      </c>
      <c r="B49" s="323" t="s">
        <v>219</v>
      </c>
      <c r="C49" s="223">
        <v>0.5</v>
      </c>
      <c r="D49" s="323" t="s">
        <v>28</v>
      </c>
      <c r="E49" s="324">
        <v>8000</v>
      </c>
      <c r="F49" s="324">
        <f>(C49*E49)*1.19</f>
        <v>4760</v>
      </c>
      <c r="G49" s="306"/>
      <c r="J49" s="62"/>
    </row>
    <row r="50" spans="1:10" ht="12.75" customHeight="1">
      <c r="A50" s="74" t="s">
        <v>37</v>
      </c>
      <c r="B50" s="72"/>
      <c r="C50" s="308"/>
      <c r="D50" s="72"/>
      <c r="E50" s="321"/>
      <c r="F50" s="88"/>
      <c r="G50" s="306"/>
      <c r="J50" s="62"/>
    </row>
    <row r="51" spans="1:10" ht="12.75" customHeight="1">
      <c r="A51" s="235" t="s">
        <v>220</v>
      </c>
      <c r="B51" s="72" t="s">
        <v>221</v>
      </c>
      <c r="C51" s="308">
        <v>1</v>
      </c>
      <c r="D51" s="72" t="s">
        <v>222</v>
      </c>
      <c r="E51" s="321">
        <v>4500</v>
      </c>
      <c r="F51" s="88">
        <f>(E51*C51)*1.19</f>
        <v>5355</v>
      </c>
      <c r="G51" s="306"/>
    </row>
    <row r="52" spans="1:10" ht="12.75" customHeight="1">
      <c r="A52" s="74" t="s">
        <v>101</v>
      </c>
      <c r="B52" s="72" t="s">
        <v>221</v>
      </c>
      <c r="C52" s="308">
        <v>120</v>
      </c>
      <c r="D52" s="72" t="s">
        <v>83</v>
      </c>
      <c r="E52" s="321">
        <v>160</v>
      </c>
      <c r="F52" s="88">
        <f>(E52*C52)*1.19</f>
        <v>22848</v>
      </c>
      <c r="G52" s="306"/>
    </row>
    <row r="53" spans="1:10" ht="12.75" customHeight="1">
      <c r="A53" s="94" t="s">
        <v>181</v>
      </c>
      <c r="B53" s="313"/>
      <c r="C53" s="313"/>
      <c r="D53" s="313"/>
      <c r="E53" s="94"/>
      <c r="F53" s="94">
        <f>SUM(F43:F52)</f>
        <v>226695</v>
      </c>
      <c r="G53" s="306"/>
    </row>
    <row r="54" spans="1:10" ht="12.75" customHeight="1">
      <c r="A54" s="325"/>
      <c r="B54" s="314"/>
      <c r="C54" s="314"/>
      <c r="D54" s="314"/>
      <c r="E54" s="238"/>
      <c r="F54" s="325"/>
      <c r="G54" s="306"/>
    </row>
    <row r="55" spans="1:10" ht="12.75" customHeight="1">
      <c r="A55" s="94" t="s">
        <v>37</v>
      </c>
      <c r="B55" s="314"/>
      <c r="C55" s="314"/>
      <c r="D55" s="314"/>
      <c r="E55" s="238"/>
      <c r="F55" s="238"/>
      <c r="G55" s="306"/>
    </row>
    <row r="56" spans="1:10" ht="24.75" customHeight="1">
      <c r="A56" s="313" t="s">
        <v>38</v>
      </c>
      <c r="B56" s="305" t="s">
        <v>32</v>
      </c>
      <c r="C56" s="305" t="s">
        <v>33</v>
      </c>
      <c r="D56" s="313" t="s">
        <v>19</v>
      </c>
      <c r="E56" s="305" t="s">
        <v>20</v>
      </c>
      <c r="F56" s="313" t="s">
        <v>21</v>
      </c>
      <c r="G56" s="306"/>
    </row>
    <row r="57" spans="1:10" ht="12.75" customHeight="1">
      <c r="A57" s="312"/>
      <c r="B57" s="311"/>
      <c r="C57" s="311"/>
      <c r="D57" s="311"/>
      <c r="E57" s="312"/>
      <c r="F57" s="312">
        <v>0</v>
      </c>
      <c r="G57" s="306"/>
    </row>
    <row r="58" spans="1:10" ht="16.5" customHeight="1">
      <c r="A58" s="94" t="s">
        <v>39</v>
      </c>
      <c r="B58" s="313"/>
      <c r="C58" s="313"/>
      <c r="D58" s="313"/>
      <c r="E58" s="94"/>
      <c r="F58" s="94">
        <f>F57</f>
        <v>0</v>
      </c>
      <c r="G58" s="306"/>
    </row>
    <row r="59" spans="1:10" ht="12.75" customHeight="1">
      <c r="A59" s="325"/>
      <c r="B59" s="314"/>
      <c r="C59" s="314"/>
      <c r="D59" s="314"/>
      <c r="E59" s="238"/>
      <c r="F59" s="325"/>
      <c r="G59" s="306"/>
    </row>
    <row r="60" spans="1:10" ht="13.5" customHeight="1">
      <c r="A60" s="342" t="s">
        <v>40</v>
      </c>
      <c r="B60" s="343"/>
      <c r="C60" s="343"/>
      <c r="D60" s="343"/>
      <c r="E60" s="342"/>
      <c r="F60" s="342">
        <f>F26+F31+F39+F53+F58</f>
        <v>531135</v>
      </c>
      <c r="G60" s="306"/>
    </row>
    <row r="61" spans="1:10" ht="12" customHeight="1">
      <c r="A61" s="342" t="s">
        <v>41</v>
      </c>
      <c r="B61" s="343"/>
      <c r="C61" s="343"/>
      <c r="D61" s="343"/>
      <c r="E61" s="342"/>
      <c r="F61" s="342">
        <f>F60*5%</f>
        <v>26556.75</v>
      </c>
      <c r="G61" s="306"/>
    </row>
    <row r="62" spans="1:10" ht="12" customHeight="1">
      <c r="A62" s="342" t="s">
        <v>42</v>
      </c>
      <c r="B62" s="343"/>
      <c r="C62" s="343"/>
      <c r="D62" s="343"/>
      <c r="E62" s="342"/>
      <c r="F62" s="342">
        <f>SUM(F60:F61)</f>
        <v>557691.75</v>
      </c>
      <c r="G62" s="306"/>
    </row>
    <row r="63" spans="1:10" ht="24" customHeight="1" thickBot="1">
      <c r="A63" s="344" t="s">
        <v>43</v>
      </c>
      <c r="B63" s="345"/>
      <c r="C63" s="345"/>
      <c r="D63" s="345"/>
      <c r="E63" s="344"/>
      <c r="F63" s="344">
        <f>F11</f>
        <v>800000</v>
      </c>
      <c r="G63" s="306"/>
    </row>
    <row r="64" spans="1:10" ht="12.75" customHeight="1" thickBot="1">
      <c r="A64" s="346" t="s">
        <v>44</v>
      </c>
      <c r="B64" s="347"/>
      <c r="C64" s="347"/>
      <c r="D64" s="347"/>
      <c r="E64" s="348"/>
      <c r="F64" s="349">
        <f>F63-F62</f>
        <v>242308.25</v>
      </c>
      <c r="G64" s="306"/>
    </row>
    <row r="65" spans="1:7" ht="12.75" customHeight="1">
      <c r="A65" s="238" t="s">
        <v>104</v>
      </c>
      <c r="B65" s="238"/>
      <c r="C65" s="238"/>
      <c r="D65" s="238"/>
      <c r="E65" s="238"/>
      <c r="F65" s="238"/>
      <c r="G65" s="306"/>
    </row>
    <row r="66" spans="1:7" ht="12.75" customHeight="1" thickBot="1">
      <c r="A66" s="238"/>
      <c r="B66" s="238"/>
      <c r="C66" s="238"/>
      <c r="D66" s="238"/>
      <c r="E66" s="238"/>
      <c r="F66" s="238"/>
      <c r="G66" s="306"/>
    </row>
    <row r="67" spans="1:7" ht="12" customHeight="1">
      <c r="A67" s="48" t="s">
        <v>45</v>
      </c>
      <c r="B67" s="49"/>
      <c r="C67" s="49"/>
      <c r="D67" s="49"/>
      <c r="E67" s="50"/>
      <c r="F67" s="32"/>
    </row>
    <row r="68" spans="1:7" ht="12" customHeight="1">
      <c r="A68" s="51" t="s">
        <v>46</v>
      </c>
      <c r="B68" s="34"/>
      <c r="C68" s="34"/>
      <c r="D68" s="34"/>
      <c r="E68" s="52"/>
      <c r="F68" s="32"/>
    </row>
    <row r="69" spans="1:7" ht="12" customHeight="1">
      <c r="A69" s="51" t="s">
        <v>47</v>
      </c>
      <c r="B69" s="34"/>
      <c r="C69" s="34"/>
      <c r="D69" s="34"/>
      <c r="E69" s="52"/>
      <c r="F69" s="32"/>
    </row>
    <row r="70" spans="1:7" ht="12" customHeight="1">
      <c r="A70" s="51" t="s">
        <v>48</v>
      </c>
      <c r="B70" s="34"/>
      <c r="C70" s="34"/>
      <c r="D70" s="34"/>
      <c r="E70" s="52"/>
      <c r="F70" s="32"/>
    </row>
    <row r="71" spans="1:7" ht="12" customHeight="1">
      <c r="A71" s="51" t="s">
        <v>49</v>
      </c>
      <c r="B71" s="34"/>
      <c r="C71" s="34"/>
      <c r="D71" s="34"/>
      <c r="E71" s="52"/>
      <c r="F71" s="32"/>
    </row>
    <row r="72" spans="1:7" ht="12" customHeight="1">
      <c r="A72" s="51" t="s">
        <v>50</v>
      </c>
      <c r="B72" s="34"/>
      <c r="C72" s="34"/>
      <c r="D72" s="34"/>
      <c r="E72" s="52"/>
      <c r="F72" s="32"/>
    </row>
    <row r="73" spans="1:7" ht="12.75" customHeight="1" thickBot="1">
      <c r="A73" s="53" t="s">
        <v>51</v>
      </c>
      <c r="B73" s="54"/>
      <c r="C73" s="54"/>
      <c r="D73" s="54"/>
      <c r="E73" s="55"/>
      <c r="F73" s="32"/>
    </row>
    <row r="74" spans="1:7" ht="12.75" customHeight="1">
      <c r="A74" s="46"/>
      <c r="B74" s="34"/>
      <c r="C74" s="34"/>
      <c r="D74" s="34"/>
      <c r="E74" s="34"/>
      <c r="F74" s="32"/>
    </row>
    <row r="75" spans="1:7" ht="15" customHeight="1" thickBot="1">
      <c r="A75" s="561" t="s">
        <v>52</v>
      </c>
      <c r="B75" s="562"/>
      <c r="C75" s="45"/>
      <c r="D75" s="26"/>
      <c r="E75" s="26"/>
      <c r="F75" s="32"/>
    </row>
    <row r="76" spans="1:7" ht="12" customHeight="1">
      <c r="A76" s="38" t="s">
        <v>38</v>
      </c>
      <c r="B76" s="27" t="s">
        <v>53</v>
      </c>
      <c r="C76" s="39" t="s">
        <v>54</v>
      </c>
      <c r="D76" s="26"/>
      <c r="E76" s="26"/>
      <c r="F76" s="32"/>
    </row>
    <row r="77" spans="1:7" ht="12" customHeight="1">
      <c r="A77" s="40" t="s">
        <v>55</v>
      </c>
      <c r="B77" s="28">
        <f>F26</f>
        <v>75000</v>
      </c>
      <c r="C77" s="41">
        <f>(B77/B83)</f>
        <v>0.13448289310358275</v>
      </c>
      <c r="D77" s="26"/>
      <c r="E77" s="26"/>
      <c r="F77" s="32"/>
    </row>
    <row r="78" spans="1:7" ht="12" customHeight="1">
      <c r="A78" s="40" t="s">
        <v>56</v>
      </c>
      <c r="B78" s="28">
        <f>F31</f>
        <v>20000</v>
      </c>
      <c r="C78" s="41">
        <f>B78/B83</f>
        <v>3.5862104827622067E-2</v>
      </c>
      <c r="D78" s="26"/>
      <c r="E78" s="26"/>
      <c r="F78" s="32"/>
    </row>
    <row r="79" spans="1:7" ht="12" customHeight="1">
      <c r="A79" s="40" t="s">
        <v>57</v>
      </c>
      <c r="B79" s="28">
        <f>F39</f>
        <v>209440</v>
      </c>
      <c r="C79" s="41">
        <f>(B79/B83)</f>
        <v>0.37554796175485833</v>
      </c>
      <c r="D79" s="26"/>
      <c r="E79" s="26"/>
      <c r="F79" s="32"/>
    </row>
    <row r="80" spans="1:7" ht="12" customHeight="1">
      <c r="A80" s="40" t="s">
        <v>31</v>
      </c>
      <c r="B80" s="28">
        <f>F53</f>
        <v>226695</v>
      </c>
      <c r="C80" s="41">
        <f>(B80/B83)</f>
        <v>0.40648799269488922</v>
      </c>
      <c r="D80" s="26"/>
      <c r="E80" s="26"/>
      <c r="F80" s="32"/>
    </row>
    <row r="81" spans="1:6" ht="12" customHeight="1">
      <c r="A81" s="40" t="s">
        <v>58</v>
      </c>
      <c r="B81" s="29"/>
      <c r="C81" s="41">
        <f>(B81/B83)</f>
        <v>0</v>
      </c>
      <c r="D81" s="31"/>
      <c r="E81" s="31"/>
      <c r="F81" s="32"/>
    </row>
    <row r="82" spans="1:6" ht="12" customHeight="1">
      <c r="A82" s="40" t="s">
        <v>59</v>
      </c>
      <c r="B82" s="29">
        <f>F61</f>
        <v>26556.75</v>
      </c>
      <c r="C82" s="41">
        <f>(B82/B83)</f>
        <v>4.7619047619047616E-2</v>
      </c>
      <c r="D82" s="31"/>
      <c r="E82" s="31"/>
      <c r="F82" s="32"/>
    </row>
    <row r="83" spans="1:6" ht="12.75" customHeight="1" thickBot="1">
      <c r="A83" s="42" t="s">
        <v>60</v>
      </c>
      <c r="B83" s="43">
        <f>SUM(B77:B82)</f>
        <v>557691.75</v>
      </c>
      <c r="C83" s="44">
        <f>SUM(C77:C82)</f>
        <v>1</v>
      </c>
      <c r="D83" s="31"/>
      <c r="E83" s="31"/>
      <c r="F83" s="32"/>
    </row>
    <row r="84" spans="1:6" ht="12" customHeight="1">
      <c r="A84" s="36"/>
      <c r="B84" s="35"/>
      <c r="C84" s="35"/>
      <c r="D84" s="35"/>
      <c r="E84" s="35"/>
      <c r="F84" s="32"/>
    </row>
    <row r="85" spans="1:6" ht="12.75" customHeight="1">
      <c r="A85" s="37"/>
      <c r="B85" s="35"/>
      <c r="C85" s="35"/>
      <c r="D85" s="35"/>
      <c r="E85" s="35"/>
      <c r="F85" s="32"/>
    </row>
    <row r="86" spans="1:6" ht="12" customHeight="1" thickBot="1">
      <c r="A86" s="57"/>
      <c r="B86" s="58" t="s">
        <v>61</v>
      </c>
      <c r="C86" s="59"/>
      <c r="D86" s="60"/>
      <c r="E86" s="30"/>
      <c r="F86" s="32"/>
    </row>
    <row r="87" spans="1:6" ht="12" customHeight="1">
      <c r="A87" s="61" t="s">
        <v>309</v>
      </c>
      <c r="B87" s="99">
        <v>30</v>
      </c>
      <c r="C87" s="99">
        <v>35</v>
      </c>
      <c r="D87" s="326">
        <v>40</v>
      </c>
      <c r="E87" s="56"/>
      <c r="F87" s="33"/>
    </row>
    <row r="88" spans="1:6" ht="20.25" customHeight="1" thickBot="1">
      <c r="A88" s="102" t="s">
        <v>207</v>
      </c>
      <c r="B88" s="101">
        <f>$F$62/B87</f>
        <v>18589.724999999999</v>
      </c>
      <c r="C88" s="101">
        <f t="shared" ref="C88:D88" si="1">$F$62/C87</f>
        <v>15934.05</v>
      </c>
      <c r="D88" s="327">
        <f t="shared" si="1"/>
        <v>13942.293750000001</v>
      </c>
      <c r="E88" s="56"/>
      <c r="F88" s="33"/>
    </row>
    <row r="89" spans="1:6" ht="15.6" customHeight="1">
      <c r="A89" s="47" t="s">
        <v>62</v>
      </c>
      <c r="B89" s="34"/>
      <c r="C89" s="34"/>
      <c r="D89" s="34"/>
      <c r="E89" s="34"/>
      <c r="F89" s="34"/>
    </row>
  </sheetData>
  <mergeCells count="8">
    <mergeCell ref="A16:F16"/>
    <mergeCell ref="A75:B75"/>
    <mergeCell ref="D8:E8"/>
    <mergeCell ref="D9:E9"/>
    <mergeCell ref="D10:E10"/>
    <mergeCell ref="D12:E12"/>
    <mergeCell ref="D13:E13"/>
    <mergeCell ref="D14:E1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18"/>
  <sheetViews>
    <sheetView workbookViewId="0">
      <selection activeCell="I16" sqref="I16"/>
    </sheetView>
  </sheetViews>
  <sheetFormatPr baseColWidth="10" defaultColWidth="10.85546875" defaultRowHeight="11.25" customHeight="1"/>
  <cols>
    <col min="1" max="1" width="34.7109375" style="1" customWidth="1"/>
    <col min="2" max="2" width="19.42578125" style="1" customWidth="1"/>
    <col min="3" max="3" width="9.42578125" style="1" customWidth="1"/>
    <col min="4" max="4" width="17.7109375" style="1" customWidth="1"/>
    <col min="5" max="5" width="11" style="1" customWidth="1"/>
    <col min="6" max="6" width="19.5703125" style="1" customWidth="1"/>
    <col min="7" max="254" width="10.85546875" style="1" customWidth="1"/>
  </cols>
  <sheetData>
    <row r="1" spans="1:6" ht="15" customHeight="1">
      <c r="A1" s="2"/>
      <c r="B1" s="2"/>
      <c r="C1" s="2"/>
      <c r="D1" s="2"/>
      <c r="E1" s="2"/>
      <c r="F1" s="2"/>
    </row>
    <row r="2" spans="1:6" ht="15" customHeight="1">
      <c r="A2" s="2"/>
      <c r="B2" s="2"/>
      <c r="C2" s="2"/>
      <c r="D2" s="2"/>
      <c r="E2" s="2"/>
      <c r="F2" s="2"/>
    </row>
    <row r="3" spans="1:6" ht="15" customHeight="1">
      <c r="A3" s="2"/>
      <c r="B3" s="2"/>
      <c r="C3" s="2"/>
      <c r="D3" s="2"/>
      <c r="E3" s="2"/>
      <c r="F3" s="2"/>
    </row>
    <row r="4" spans="1:6" ht="15" customHeight="1">
      <c r="A4" s="2"/>
      <c r="B4" s="2"/>
      <c r="C4" s="2"/>
      <c r="D4" s="2"/>
      <c r="E4" s="2"/>
      <c r="F4" s="2"/>
    </row>
    <row r="5" spans="1:6" ht="15" customHeight="1">
      <c r="A5" s="2"/>
      <c r="B5" s="2"/>
      <c r="C5" s="2"/>
      <c r="D5" s="2"/>
      <c r="E5" s="2"/>
      <c r="F5" s="2"/>
    </row>
    <row r="6" spans="1:6" ht="15" customHeight="1">
      <c r="A6" s="2"/>
      <c r="B6" s="2"/>
      <c r="C6" s="2"/>
      <c r="D6" s="2"/>
      <c r="E6" s="2"/>
      <c r="F6" s="2"/>
    </row>
    <row r="7" spans="1:6" ht="15" customHeight="1">
      <c r="A7" s="3"/>
      <c r="B7" s="4"/>
      <c r="C7" s="2"/>
      <c r="D7" s="4"/>
      <c r="E7" s="4"/>
      <c r="F7" s="4"/>
    </row>
    <row r="8" spans="1:6" ht="12" customHeight="1">
      <c r="A8" s="5" t="s">
        <v>0</v>
      </c>
      <c r="B8" s="301" t="s">
        <v>224</v>
      </c>
      <c r="C8" s="6"/>
      <c r="D8" s="565" t="s">
        <v>227</v>
      </c>
      <c r="E8" s="566"/>
      <c r="F8" s="241">
        <v>30000</v>
      </c>
    </row>
    <row r="9" spans="1:6" ht="20.25" customHeight="1">
      <c r="A9" s="8" t="s">
        <v>1</v>
      </c>
      <c r="B9" s="328" t="s">
        <v>225</v>
      </c>
      <c r="C9" s="10"/>
      <c r="D9" s="563" t="s">
        <v>2</v>
      </c>
      <c r="E9" s="564"/>
      <c r="F9" s="11" t="s">
        <v>310</v>
      </c>
    </row>
    <row r="10" spans="1:6" ht="18" customHeight="1">
      <c r="A10" s="8" t="s">
        <v>3</v>
      </c>
      <c r="B10" s="218" t="s">
        <v>4</v>
      </c>
      <c r="C10" s="10"/>
      <c r="D10" s="563" t="s">
        <v>226</v>
      </c>
      <c r="E10" s="564"/>
      <c r="F10" s="134">
        <v>1000</v>
      </c>
    </row>
    <row r="11" spans="1:6" ht="11.25" customHeight="1">
      <c r="A11" s="8" t="s">
        <v>5</v>
      </c>
      <c r="B11" s="303" t="s">
        <v>65</v>
      </c>
      <c r="C11" s="10"/>
      <c r="D11" s="96" t="s">
        <v>6</v>
      </c>
      <c r="E11" s="97"/>
      <c r="F11" s="242">
        <f>F10*F8</f>
        <v>30000000</v>
      </c>
    </row>
    <row r="12" spans="1:6" ht="11.25" customHeight="1">
      <c r="A12" s="8" t="s">
        <v>7</v>
      </c>
      <c r="B12" s="218" t="s">
        <v>66</v>
      </c>
      <c r="C12" s="10"/>
      <c r="D12" s="563" t="s">
        <v>8</v>
      </c>
      <c r="E12" s="564"/>
      <c r="F12" s="11" t="s">
        <v>228</v>
      </c>
    </row>
    <row r="13" spans="1:6" ht="13.5" customHeight="1">
      <c r="A13" s="8" t="s">
        <v>9</v>
      </c>
      <c r="B13" s="218" t="s">
        <v>66</v>
      </c>
      <c r="C13" s="10"/>
      <c r="D13" s="563" t="s">
        <v>10</v>
      </c>
      <c r="E13" s="564"/>
      <c r="F13" s="11" t="s">
        <v>311</v>
      </c>
    </row>
    <row r="14" spans="1:6" ht="29.25" customHeight="1">
      <c r="A14" s="8" t="s">
        <v>11</v>
      </c>
      <c r="B14" s="339">
        <v>44197</v>
      </c>
      <c r="C14" s="10"/>
      <c r="D14" s="567" t="s">
        <v>12</v>
      </c>
      <c r="E14" s="568"/>
      <c r="F14" s="303" t="s">
        <v>229</v>
      </c>
    </row>
    <row r="15" spans="1:6" ht="12" customHeight="1">
      <c r="A15" s="18"/>
      <c r="B15" s="19"/>
      <c r="C15" s="20"/>
      <c r="D15" s="21"/>
      <c r="E15" s="21"/>
      <c r="F15" s="22"/>
    </row>
    <row r="16" spans="1:6" ht="12" customHeight="1">
      <c r="A16" s="569" t="s">
        <v>14</v>
      </c>
      <c r="B16" s="570"/>
      <c r="C16" s="570"/>
      <c r="D16" s="570"/>
      <c r="E16" s="570"/>
      <c r="F16" s="570"/>
    </row>
    <row r="17" spans="1:7" ht="12" customHeight="1">
      <c r="A17" s="23"/>
      <c r="B17" s="24"/>
      <c r="C17" s="24"/>
      <c r="D17" s="24"/>
      <c r="E17" s="25"/>
      <c r="F17" s="25"/>
    </row>
    <row r="18" spans="1:7" ht="12" customHeight="1">
      <c r="A18" s="329" t="s">
        <v>15</v>
      </c>
      <c r="B18" s="95"/>
      <c r="C18" s="95"/>
      <c r="D18" s="95"/>
      <c r="E18" s="95"/>
      <c r="F18" s="95"/>
      <c r="G18" s="238"/>
    </row>
    <row r="19" spans="1:7" ht="24" customHeight="1">
      <c r="A19" s="330" t="s">
        <v>16</v>
      </c>
      <c r="B19" s="330" t="s">
        <v>17</v>
      </c>
      <c r="C19" s="330" t="s">
        <v>18</v>
      </c>
      <c r="D19" s="330" t="s">
        <v>19</v>
      </c>
      <c r="E19" s="330" t="s">
        <v>20</v>
      </c>
      <c r="F19" s="330" t="s">
        <v>21</v>
      </c>
      <c r="G19" s="238"/>
    </row>
    <row r="20" spans="1:7" ht="12.75" customHeight="1">
      <c r="A20" s="331" t="s">
        <v>230</v>
      </c>
      <c r="B20" s="332" t="s">
        <v>22</v>
      </c>
      <c r="C20" s="332">
        <v>16</v>
      </c>
      <c r="D20" s="332" t="s">
        <v>231</v>
      </c>
      <c r="E20" s="312">
        <v>20000</v>
      </c>
      <c r="F20" s="312">
        <f>C20*E20</f>
        <v>320000</v>
      </c>
      <c r="G20" s="306"/>
    </row>
    <row r="21" spans="1:7" ht="14.25" customHeight="1">
      <c r="A21" s="331" t="s">
        <v>232</v>
      </c>
      <c r="B21" s="332" t="s">
        <v>22</v>
      </c>
      <c r="C21" s="332">
        <v>17</v>
      </c>
      <c r="D21" s="332" t="s">
        <v>233</v>
      </c>
      <c r="E21" s="312">
        <v>20000</v>
      </c>
      <c r="F21" s="312">
        <f t="shared" ref="F21:F27" si="0">C21*E21</f>
        <v>340000</v>
      </c>
      <c r="G21" s="306"/>
    </row>
    <row r="22" spans="1:7" ht="12.75" customHeight="1">
      <c r="A22" s="331" t="s">
        <v>234</v>
      </c>
      <c r="B22" s="332" t="s">
        <v>22</v>
      </c>
      <c r="C22" s="332">
        <v>16.7</v>
      </c>
      <c r="D22" s="332" t="s">
        <v>235</v>
      </c>
      <c r="E22" s="312">
        <v>20000</v>
      </c>
      <c r="F22" s="312">
        <f t="shared" si="0"/>
        <v>334000</v>
      </c>
      <c r="G22" s="306"/>
    </row>
    <row r="23" spans="1:7" ht="12.75" customHeight="1">
      <c r="A23" s="331" t="s">
        <v>236</v>
      </c>
      <c r="B23" s="332" t="s">
        <v>22</v>
      </c>
      <c r="C23" s="332">
        <v>10</v>
      </c>
      <c r="D23" s="332" t="s">
        <v>237</v>
      </c>
      <c r="E23" s="312">
        <v>20000</v>
      </c>
      <c r="F23" s="312">
        <f t="shared" si="0"/>
        <v>200000</v>
      </c>
      <c r="G23" s="306"/>
    </row>
    <row r="24" spans="1:7" ht="12" customHeight="1">
      <c r="A24" s="331" t="s">
        <v>238</v>
      </c>
      <c r="B24" s="332" t="s">
        <v>22</v>
      </c>
      <c r="C24" s="332">
        <v>4</v>
      </c>
      <c r="D24" s="332" t="s">
        <v>239</v>
      </c>
      <c r="E24" s="312">
        <v>20000</v>
      </c>
      <c r="F24" s="312">
        <f t="shared" si="0"/>
        <v>80000</v>
      </c>
      <c r="G24" s="306"/>
    </row>
    <row r="25" spans="1:7" ht="12" customHeight="1">
      <c r="A25" s="331" t="s">
        <v>240</v>
      </c>
      <c r="B25" s="332" t="s">
        <v>22</v>
      </c>
      <c r="C25" s="332">
        <v>4</v>
      </c>
      <c r="D25" s="332" t="s">
        <v>241</v>
      </c>
      <c r="E25" s="312">
        <v>20000</v>
      </c>
      <c r="F25" s="312">
        <f t="shared" si="0"/>
        <v>80000</v>
      </c>
      <c r="G25" s="306"/>
    </row>
    <row r="26" spans="1:7" ht="24" customHeight="1">
      <c r="A26" s="331" t="s">
        <v>242</v>
      </c>
      <c r="B26" s="332" t="s">
        <v>22</v>
      </c>
      <c r="C26" s="332">
        <v>25</v>
      </c>
      <c r="D26" s="332" t="s">
        <v>243</v>
      </c>
      <c r="E26" s="312">
        <v>20000</v>
      </c>
      <c r="F26" s="312">
        <f t="shared" si="0"/>
        <v>500000</v>
      </c>
      <c r="G26" s="306"/>
    </row>
    <row r="27" spans="1:7" ht="12" customHeight="1">
      <c r="A27" s="331" t="s">
        <v>244</v>
      </c>
      <c r="B27" s="332" t="s">
        <v>22</v>
      </c>
      <c r="C27" s="332">
        <v>363.64</v>
      </c>
      <c r="D27" s="332" t="s">
        <v>313</v>
      </c>
      <c r="E27" s="312">
        <v>20000</v>
      </c>
      <c r="F27" s="312">
        <f t="shared" si="0"/>
        <v>7272800</v>
      </c>
      <c r="G27" s="306"/>
    </row>
    <row r="28" spans="1:7" ht="12" customHeight="1">
      <c r="A28" s="583" t="s">
        <v>23</v>
      </c>
      <c r="B28" s="584"/>
      <c r="C28" s="584"/>
      <c r="D28" s="584"/>
      <c r="E28" s="585"/>
      <c r="F28" s="333">
        <f>SUM(F20:F27)</f>
        <v>9126800</v>
      </c>
      <c r="G28" s="306"/>
    </row>
    <row r="29" spans="1:7" ht="12" customHeight="1">
      <c r="A29" s="95"/>
      <c r="B29" s="261"/>
      <c r="C29" s="261"/>
      <c r="D29" s="261"/>
      <c r="E29" s="95"/>
      <c r="F29" s="95"/>
      <c r="G29" s="306"/>
    </row>
    <row r="30" spans="1:7" ht="12" customHeight="1">
      <c r="A30" s="329" t="s">
        <v>24</v>
      </c>
      <c r="B30" s="261"/>
      <c r="C30" s="261"/>
      <c r="D30" s="261"/>
      <c r="E30" s="95"/>
      <c r="F30" s="95"/>
      <c r="G30" s="306"/>
    </row>
    <row r="31" spans="1:7" ht="24" customHeight="1">
      <c r="A31" s="334" t="s">
        <v>16</v>
      </c>
      <c r="B31" s="330" t="s">
        <v>17</v>
      </c>
      <c r="C31" s="330" t="s">
        <v>18</v>
      </c>
      <c r="D31" s="334" t="s">
        <v>19</v>
      </c>
      <c r="E31" s="330" t="s">
        <v>20</v>
      </c>
      <c r="F31" s="334" t="s">
        <v>21</v>
      </c>
      <c r="G31" s="306"/>
    </row>
    <row r="32" spans="1:7" ht="12.75" customHeight="1">
      <c r="A32" s="331"/>
      <c r="B32" s="332"/>
      <c r="C32" s="332"/>
      <c r="D32" s="332"/>
      <c r="E32" s="331"/>
      <c r="F32" s="331"/>
      <c r="G32" s="306"/>
    </row>
    <row r="33" spans="1:7" ht="30" customHeight="1">
      <c r="A33" s="583" t="s">
        <v>25</v>
      </c>
      <c r="B33" s="584"/>
      <c r="C33" s="584"/>
      <c r="D33" s="584"/>
      <c r="E33" s="585"/>
      <c r="F33" s="335"/>
      <c r="G33" s="306"/>
    </row>
    <row r="34" spans="1:7" ht="12.75" customHeight="1">
      <c r="A34" s="95"/>
      <c r="B34" s="261"/>
      <c r="C34" s="261"/>
      <c r="D34" s="261"/>
      <c r="E34" s="95"/>
      <c r="F34" s="95"/>
      <c r="G34" s="306"/>
    </row>
    <row r="35" spans="1:7" ht="12.75" customHeight="1">
      <c r="A35" s="329" t="s">
        <v>26</v>
      </c>
      <c r="B35" s="261"/>
      <c r="C35" s="261"/>
      <c r="D35" s="261"/>
      <c r="E35" s="95"/>
      <c r="F35" s="95"/>
      <c r="G35" s="306"/>
    </row>
    <row r="36" spans="1:7" ht="12.75" customHeight="1">
      <c r="A36" s="334" t="s">
        <v>16</v>
      </c>
      <c r="B36" s="334" t="s">
        <v>17</v>
      </c>
      <c r="C36" s="334" t="s">
        <v>18</v>
      </c>
      <c r="D36" s="334" t="s">
        <v>19</v>
      </c>
      <c r="E36" s="330" t="s">
        <v>20</v>
      </c>
      <c r="F36" s="334" t="s">
        <v>21</v>
      </c>
      <c r="G36" s="306"/>
    </row>
    <row r="37" spans="1:7" ht="12.75" customHeight="1">
      <c r="A37" s="331" t="s">
        <v>246</v>
      </c>
      <c r="B37" s="332" t="s">
        <v>162</v>
      </c>
      <c r="C37" s="332">
        <v>0.3</v>
      </c>
      <c r="D37" s="332" t="s">
        <v>247</v>
      </c>
      <c r="E37" s="312">
        <v>135000</v>
      </c>
      <c r="F37" s="312">
        <f>C37*E37</f>
        <v>40500</v>
      </c>
      <c r="G37" s="306"/>
    </row>
    <row r="38" spans="1:7" ht="25.5" customHeight="1">
      <c r="A38" s="331" t="s">
        <v>248</v>
      </c>
      <c r="B38" s="332" t="s">
        <v>162</v>
      </c>
      <c r="C38" s="332">
        <v>2</v>
      </c>
      <c r="D38" s="332" t="s">
        <v>247</v>
      </c>
      <c r="E38" s="312">
        <v>135000</v>
      </c>
      <c r="F38" s="312">
        <f t="shared" ref="F38:F42" si="1">C38*E38</f>
        <v>270000</v>
      </c>
      <c r="G38" s="306"/>
    </row>
    <row r="39" spans="1:7" ht="9.75" customHeight="1">
      <c r="A39" s="331" t="s">
        <v>249</v>
      </c>
      <c r="B39" s="332" t="s">
        <v>162</v>
      </c>
      <c r="C39" s="332">
        <v>1</v>
      </c>
      <c r="D39" s="332" t="s">
        <v>247</v>
      </c>
      <c r="E39" s="312">
        <v>135000</v>
      </c>
      <c r="F39" s="312">
        <f t="shared" si="1"/>
        <v>135000</v>
      </c>
      <c r="G39" s="306"/>
    </row>
    <row r="40" spans="1:7" ht="25.5" customHeight="1">
      <c r="A40" s="331" t="s">
        <v>250</v>
      </c>
      <c r="B40" s="332" t="s">
        <v>162</v>
      </c>
      <c r="C40" s="332">
        <v>0.6</v>
      </c>
      <c r="D40" s="332" t="s">
        <v>251</v>
      </c>
      <c r="E40" s="312">
        <v>135000</v>
      </c>
      <c r="F40" s="312">
        <f t="shared" si="1"/>
        <v>81000</v>
      </c>
      <c r="G40" s="306"/>
    </row>
    <row r="41" spans="1:7" ht="22.5" customHeight="1">
      <c r="A41" s="331" t="s">
        <v>252</v>
      </c>
      <c r="B41" s="332" t="s">
        <v>162</v>
      </c>
      <c r="C41" s="332">
        <v>1</v>
      </c>
      <c r="D41" s="332" t="s">
        <v>251</v>
      </c>
      <c r="E41" s="312">
        <v>135000</v>
      </c>
      <c r="F41" s="312">
        <f t="shared" si="1"/>
        <v>135000</v>
      </c>
      <c r="G41" s="306"/>
    </row>
    <row r="42" spans="1:7" ht="12.75" customHeight="1">
      <c r="A42" s="336" t="s">
        <v>253</v>
      </c>
      <c r="B42" s="332" t="s">
        <v>162</v>
      </c>
      <c r="C42" s="332">
        <v>1</v>
      </c>
      <c r="D42" s="332" t="s">
        <v>241</v>
      </c>
      <c r="E42" s="312">
        <v>135000</v>
      </c>
      <c r="F42" s="312">
        <f t="shared" si="1"/>
        <v>135000</v>
      </c>
      <c r="G42" s="306"/>
    </row>
    <row r="43" spans="1:7" ht="12.75" customHeight="1">
      <c r="A43" s="583" t="s">
        <v>254</v>
      </c>
      <c r="B43" s="584"/>
      <c r="C43" s="584"/>
      <c r="D43" s="584"/>
      <c r="E43" s="585"/>
      <c r="F43" s="333">
        <f>SUM(F37:F42)</f>
        <v>796500</v>
      </c>
      <c r="G43" s="306"/>
    </row>
    <row r="44" spans="1:7" ht="25.5" customHeight="1">
      <c r="A44" s="95"/>
      <c r="B44" s="261"/>
      <c r="C44" s="261"/>
      <c r="D44" s="261"/>
      <c r="E44" s="95"/>
      <c r="F44" s="95"/>
      <c r="G44" s="306"/>
    </row>
    <row r="45" spans="1:7" ht="12.75" customHeight="1">
      <c r="A45" s="329" t="s">
        <v>30</v>
      </c>
      <c r="B45" s="261"/>
      <c r="C45" s="261"/>
      <c r="D45" s="261"/>
      <c r="E45" s="95"/>
      <c r="F45" s="95"/>
      <c r="G45" s="306"/>
    </row>
    <row r="46" spans="1:7" ht="12.75" customHeight="1">
      <c r="A46" s="330" t="s">
        <v>31</v>
      </c>
      <c r="B46" s="330" t="s">
        <v>32</v>
      </c>
      <c r="C46" s="330" t="s">
        <v>33</v>
      </c>
      <c r="D46" s="330" t="s">
        <v>19</v>
      </c>
      <c r="E46" s="330" t="s">
        <v>20</v>
      </c>
      <c r="F46" s="330" t="s">
        <v>21</v>
      </c>
      <c r="G46" s="306"/>
    </row>
    <row r="47" spans="1:7" ht="23.25" customHeight="1">
      <c r="A47" s="337" t="s">
        <v>255</v>
      </c>
      <c r="B47" s="332" t="s">
        <v>256</v>
      </c>
      <c r="C47" s="311">
        <v>30000</v>
      </c>
      <c r="D47" s="332" t="s">
        <v>233</v>
      </c>
      <c r="E47" s="312">
        <v>95</v>
      </c>
      <c r="F47" s="312">
        <f>C47*E47</f>
        <v>2850000</v>
      </c>
      <c r="G47" s="306"/>
    </row>
    <row r="48" spans="1:7" ht="12" customHeight="1">
      <c r="A48" s="337" t="s">
        <v>34</v>
      </c>
      <c r="B48" s="332"/>
      <c r="C48" s="311"/>
      <c r="D48" s="332"/>
      <c r="E48" s="312"/>
      <c r="F48" s="312">
        <f t="shared" ref="F48:F70" si="2">C48*E48</f>
        <v>0</v>
      </c>
      <c r="G48" s="306"/>
    </row>
    <row r="49" spans="1:10" ht="24" customHeight="1">
      <c r="A49" s="331" t="s">
        <v>257</v>
      </c>
      <c r="B49" s="332" t="s">
        <v>258</v>
      </c>
      <c r="C49" s="311">
        <v>75</v>
      </c>
      <c r="D49" s="332" t="s">
        <v>251</v>
      </c>
      <c r="E49" s="312">
        <f>1058*1.19</f>
        <v>1259.02</v>
      </c>
      <c r="F49" s="312">
        <f t="shared" si="2"/>
        <v>94426.5</v>
      </c>
      <c r="G49" s="306"/>
      <c r="J49" s="62"/>
    </row>
    <row r="50" spans="1:10" ht="12.75" customHeight="1">
      <c r="A50" s="331" t="s">
        <v>259</v>
      </c>
      <c r="B50" s="332" t="s">
        <v>258</v>
      </c>
      <c r="C50" s="311">
        <v>100</v>
      </c>
      <c r="D50" s="332" t="s">
        <v>260</v>
      </c>
      <c r="E50" s="312">
        <f t="shared" ref="E50:E51" si="3">1058*1.19</f>
        <v>1259.02</v>
      </c>
      <c r="F50" s="312">
        <f t="shared" si="2"/>
        <v>125902</v>
      </c>
      <c r="G50" s="306"/>
      <c r="J50" s="62"/>
    </row>
    <row r="51" spans="1:10" ht="12.75" customHeight="1">
      <c r="A51" s="331" t="s">
        <v>261</v>
      </c>
      <c r="B51" s="332" t="s">
        <v>258</v>
      </c>
      <c r="C51" s="311">
        <v>950</v>
      </c>
      <c r="D51" s="332" t="s">
        <v>262</v>
      </c>
      <c r="E51" s="312">
        <f t="shared" si="3"/>
        <v>1259.02</v>
      </c>
      <c r="F51" s="312">
        <f t="shared" si="2"/>
        <v>1196069</v>
      </c>
      <c r="G51" s="306"/>
    </row>
    <row r="52" spans="1:10" ht="12.75" customHeight="1">
      <c r="A52" s="331" t="s">
        <v>263</v>
      </c>
      <c r="B52" s="332" t="s">
        <v>219</v>
      </c>
      <c r="C52" s="311">
        <v>5</v>
      </c>
      <c r="D52" s="332" t="s">
        <v>264</v>
      </c>
      <c r="E52" s="312">
        <f>4906*1.19</f>
        <v>5838.1399999999994</v>
      </c>
      <c r="F52" s="312">
        <f t="shared" si="2"/>
        <v>29190.699999999997</v>
      </c>
      <c r="G52" s="306"/>
    </row>
    <row r="53" spans="1:10" ht="12.75" customHeight="1">
      <c r="A53" s="331" t="s">
        <v>265</v>
      </c>
      <c r="B53" s="332" t="s">
        <v>219</v>
      </c>
      <c r="C53" s="311">
        <v>5</v>
      </c>
      <c r="D53" s="332" t="s">
        <v>264</v>
      </c>
      <c r="E53" s="312">
        <f>5450*1.19</f>
        <v>6485.5</v>
      </c>
      <c r="F53" s="312">
        <f t="shared" si="2"/>
        <v>32427.5</v>
      </c>
      <c r="G53" s="306"/>
    </row>
    <row r="54" spans="1:10" ht="12.75" customHeight="1">
      <c r="A54" s="331" t="s">
        <v>266</v>
      </c>
      <c r="B54" s="332" t="s">
        <v>219</v>
      </c>
      <c r="C54" s="311">
        <v>5</v>
      </c>
      <c r="D54" s="332" t="s">
        <v>267</v>
      </c>
      <c r="E54" s="312">
        <f>13455*1.19</f>
        <v>16011.449999999999</v>
      </c>
      <c r="F54" s="312">
        <f t="shared" si="2"/>
        <v>80057.25</v>
      </c>
      <c r="G54" s="306"/>
    </row>
    <row r="55" spans="1:10" ht="12.75" customHeight="1">
      <c r="A55" s="331" t="s">
        <v>268</v>
      </c>
      <c r="B55" s="332" t="s">
        <v>219</v>
      </c>
      <c r="C55" s="311">
        <v>4</v>
      </c>
      <c r="D55" s="332" t="s">
        <v>269</v>
      </c>
      <c r="E55" s="312">
        <f>6190*1.19</f>
        <v>7366.0999999999995</v>
      </c>
      <c r="F55" s="312">
        <f t="shared" si="2"/>
        <v>29464.399999999998</v>
      </c>
      <c r="G55" s="306"/>
    </row>
    <row r="56" spans="1:10" ht="24.75" customHeight="1">
      <c r="A56" s="331" t="s">
        <v>270</v>
      </c>
      <c r="B56" s="332" t="s">
        <v>219</v>
      </c>
      <c r="C56" s="311">
        <v>50</v>
      </c>
      <c r="D56" s="332" t="s">
        <v>271</v>
      </c>
      <c r="E56" s="312">
        <f>858*1.19</f>
        <v>1021.02</v>
      </c>
      <c r="F56" s="312">
        <f t="shared" si="2"/>
        <v>51051</v>
      </c>
      <c r="G56" s="306"/>
    </row>
    <row r="57" spans="1:10" ht="12.75" customHeight="1">
      <c r="A57" s="337" t="s">
        <v>95</v>
      </c>
      <c r="B57" s="332"/>
      <c r="C57" s="311"/>
      <c r="D57" s="332"/>
      <c r="E57" s="312"/>
      <c r="F57" s="312">
        <f t="shared" si="2"/>
        <v>0</v>
      </c>
      <c r="G57" s="306"/>
    </row>
    <row r="58" spans="1:10" ht="16.5" customHeight="1">
      <c r="A58" s="331" t="s">
        <v>272</v>
      </c>
      <c r="B58" s="332" t="s">
        <v>178</v>
      </c>
      <c r="C58" s="332">
        <v>0.5</v>
      </c>
      <c r="D58" s="332" t="s">
        <v>273</v>
      </c>
      <c r="E58" s="312">
        <f>83439*1.19</f>
        <v>99292.409999999989</v>
      </c>
      <c r="F58" s="312">
        <f t="shared" si="2"/>
        <v>49646.204999999994</v>
      </c>
      <c r="G58" s="306"/>
    </row>
    <row r="59" spans="1:10" ht="12.75" customHeight="1">
      <c r="A59" s="331" t="s">
        <v>274</v>
      </c>
      <c r="B59" s="332" t="s">
        <v>258</v>
      </c>
      <c r="C59" s="338">
        <v>2.5</v>
      </c>
      <c r="D59" s="332" t="s">
        <v>275</v>
      </c>
      <c r="E59" s="312">
        <f>9000*1.19</f>
        <v>10710</v>
      </c>
      <c r="F59" s="312">
        <f t="shared" si="2"/>
        <v>26775</v>
      </c>
      <c r="G59" s="306"/>
    </row>
    <row r="60" spans="1:10" ht="13.5" customHeight="1">
      <c r="A60" s="331" t="s">
        <v>276</v>
      </c>
      <c r="B60" s="332" t="s">
        <v>258</v>
      </c>
      <c r="C60" s="311">
        <v>3</v>
      </c>
      <c r="D60" s="332" t="s">
        <v>260</v>
      </c>
      <c r="E60" s="312">
        <f>22075*1.19</f>
        <v>26269.25</v>
      </c>
      <c r="F60" s="312">
        <f t="shared" si="2"/>
        <v>78807.75</v>
      </c>
      <c r="G60" s="306"/>
    </row>
    <row r="61" spans="1:10" ht="12" customHeight="1">
      <c r="A61" s="331" t="s">
        <v>277</v>
      </c>
      <c r="B61" s="332" t="s">
        <v>258</v>
      </c>
      <c r="C61" s="311">
        <v>1</v>
      </c>
      <c r="D61" s="332" t="s">
        <v>278</v>
      </c>
      <c r="E61" s="312">
        <f>58907*1.19</f>
        <v>70099.33</v>
      </c>
      <c r="F61" s="312">
        <f t="shared" si="2"/>
        <v>70099.33</v>
      </c>
      <c r="G61" s="306"/>
    </row>
    <row r="62" spans="1:10" ht="12" customHeight="1">
      <c r="A62" s="331" t="s">
        <v>279</v>
      </c>
      <c r="B62" s="332" t="s">
        <v>258</v>
      </c>
      <c r="C62" s="311">
        <v>14</v>
      </c>
      <c r="D62" s="332" t="s">
        <v>280</v>
      </c>
      <c r="E62" s="312">
        <f>5750*1.19</f>
        <v>6842.5</v>
      </c>
      <c r="F62" s="312">
        <f t="shared" si="2"/>
        <v>95795</v>
      </c>
      <c r="G62" s="306"/>
    </row>
    <row r="63" spans="1:10" ht="24" customHeight="1">
      <c r="A63" s="337" t="s">
        <v>134</v>
      </c>
      <c r="B63" s="332"/>
      <c r="C63" s="311"/>
      <c r="D63" s="332"/>
      <c r="E63" s="312"/>
      <c r="F63" s="312">
        <f t="shared" si="2"/>
        <v>0</v>
      </c>
      <c r="G63" s="306"/>
    </row>
    <row r="64" spans="1:10" ht="12.75" customHeight="1">
      <c r="A64" s="331" t="s">
        <v>281</v>
      </c>
      <c r="B64" s="332" t="s">
        <v>219</v>
      </c>
      <c r="C64" s="311">
        <v>3</v>
      </c>
      <c r="D64" s="332" t="s">
        <v>282</v>
      </c>
      <c r="E64" s="312">
        <f>62415*1.19/5</f>
        <v>14854.769999999999</v>
      </c>
      <c r="F64" s="312">
        <f t="shared" si="2"/>
        <v>44564.31</v>
      </c>
      <c r="G64" s="306"/>
    </row>
    <row r="65" spans="1:7" ht="12.75" customHeight="1">
      <c r="A65" s="337" t="s">
        <v>283</v>
      </c>
      <c r="B65" s="332"/>
      <c r="C65" s="311"/>
      <c r="D65" s="332"/>
      <c r="E65" s="312"/>
      <c r="F65" s="312">
        <f t="shared" si="2"/>
        <v>0</v>
      </c>
      <c r="G65" s="306"/>
    </row>
    <row r="66" spans="1:7" ht="12.75" customHeight="1">
      <c r="A66" s="331" t="s">
        <v>284</v>
      </c>
      <c r="B66" s="332" t="s">
        <v>258</v>
      </c>
      <c r="C66" s="338">
        <v>0.1</v>
      </c>
      <c r="D66" s="332" t="s">
        <v>285</v>
      </c>
      <c r="E66" s="312">
        <f>16230*1.19*4</f>
        <v>77254.8</v>
      </c>
      <c r="F66" s="312">
        <f>+E66*C66</f>
        <v>7725.4800000000005</v>
      </c>
      <c r="G66" s="306"/>
    </row>
    <row r="67" spans="1:7" ht="12" customHeight="1">
      <c r="A67" s="331" t="s">
        <v>286</v>
      </c>
      <c r="B67" s="332" t="s">
        <v>219</v>
      </c>
      <c r="C67" s="332">
        <v>0.2</v>
      </c>
      <c r="D67" s="332" t="s">
        <v>119</v>
      </c>
      <c r="E67" s="312">
        <v>105600</v>
      </c>
      <c r="F67" s="312">
        <f t="shared" si="2"/>
        <v>21120</v>
      </c>
    </row>
    <row r="68" spans="1:7" ht="12" customHeight="1">
      <c r="A68" s="337" t="s">
        <v>287</v>
      </c>
      <c r="B68" s="332"/>
      <c r="C68" s="332"/>
      <c r="D68" s="332"/>
      <c r="E68" s="312"/>
      <c r="F68" s="312">
        <f t="shared" si="2"/>
        <v>0</v>
      </c>
    </row>
    <row r="69" spans="1:7" ht="12" customHeight="1">
      <c r="A69" s="331" t="s">
        <v>288</v>
      </c>
      <c r="B69" s="332" t="s">
        <v>219</v>
      </c>
      <c r="C69" s="332">
        <v>0.5</v>
      </c>
      <c r="D69" s="332" t="s">
        <v>172</v>
      </c>
      <c r="E69" s="312">
        <f>79192*1.19</f>
        <v>94238.48</v>
      </c>
      <c r="F69" s="312">
        <f t="shared" si="2"/>
        <v>47119.24</v>
      </c>
    </row>
    <row r="70" spans="1:7" ht="12" customHeight="1">
      <c r="A70" s="331" t="s">
        <v>289</v>
      </c>
      <c r="B70" s="332" t="s">
        <v>219</v>
      </c>
      <c r="C70" s="332">
        <v>2</v>
      </c>
      <c r="D70" s="332" t="s">
        <v>290</v>
      </c>
      <c r="E70" s="312">
        <f>20572*1.19</f>
        <v>24480.68</v>
      </c>
      <c r="F70" s="312">
        <f t="shared" si="2"/>
        <v>48961.36</v>
      </c>
    </row>
    <row r="71" spans="1:7" ht="12" customHeight="1">
      <c r="A71" s="583" t="s">
        <v>36</v>
      </c>
      <c r="B71" s="584"/>
      <c r="C71" s="584"/>
      <c r="D71" s="584"/>
      <c r="E71" s="585"/>
      <c r="F71" s="333">
        <f>SUM(F47:F70)</f>
        <v>4979202.0250000013</v>
      </c>
    </row>
    <row r="72" spans="1:7" ht="12" customHeight="1">
      <c r="A72" s="287"/>
      <c r="B72" s="261"/>
      <c r="C72" s="261"/>
      <c r="D72" s="261"/>
      <c r="E72" s="95"/>
      <c r="F72" s="287"/>
    </row>
    <row r="73" spans="1:7" ht="12.75" customHeight="1">
      <c r="A73" s="340" t="s">
        <v>37</v>
      </c>
      <c r="B73" s="261"/>
      <c r="C73" s="261"/>
      <c r="D73" s="261"/>
      <c r="E73" s="95"/>
      <c r="F73" s="95"/>
    </row>
    <row r="74" spans="1:7" ht="12.75" customHeight="1">
      <c r="A74" s="334" t="s">
        <v>38</v>
      </c>
      <c r="B74" s="330" t="s">
        <v>32</v>
      </c>
      <c r="C74" s="330" t="s">
        <v>33</v>
      </c>
      <c r="D74" s="334" t="s">
        <v>19</v>
      </c>
      <c r="E74" s="330" t="s">
        <v>20</v>
      </c>
      <c r="F74" s="334" t="s">
        <v>21</v>
      </c>
    </row>
    <row r="75" spans="1:7" ht="15" customHeight="1">
      <c r="A75" s="337" t="s">
        <v>291</v>
      </c>
      <c r="B75" s="332"/>
      <c r="C75" s="332"/>
      <c r="D75" s="332"/>
      <c r="E75" s="312"/>
      <c r="F75" s="312"/>
    </row>
    <row r="76" spans="1:7" ht="12" customHeight="1">
      <c r="A76" s="331" t="s">
        <v>292</v>
      </c>
      <c r="B76" s="332" t="s">
        <v>293</v>
      </c>
      <c r="C76" s="311">
        <v>300</v>
      </c>
      <c r="D76" s="332" t="s">
        <v>251</v>
      </c>
      <c r="E76" s="312">
        <v>130</v>
      </c>
      <c r="F76" s="312">
        <f t="shared" ref="F76:F87" si="4">C76*E76</f>
        <v>39000</v>
      </c>
    </row>
    <row r="77" spans="1:7" ht="12" customHeight="1">
      <c r="A77" s="331" t="s">
        <v>294</v>
      </c>
      <c r="B77" s="332" t="s">
        <v>221</v>
      </c>
      <c r="C77" s="332">
        <v>160</v>
      </c>
      <c r="D77" s="332" t="s">
        <v>251</v>
      </c>
      <c r="E77" s="312">
        <v>220</v>
      </c>
      <c r="F77" s="312">
        <f t="shared" si="4"/>
        <v>35200</v>
      </c>
    </row>
    <row r="78" spans="1:7" ht="12" customHeight="1">
      <c r="A78" s="331" t="s">
        <v>295</v>
      </c>
      <c r="B78" s="332" t="s">
        <v>293</v>
      </c>
      <c r="C78" s="311">
        <v>10000</v>
      </c>
      <c r="D78" s="332" t="s">
        <v>251</v>
      </c>
      <c r="E78" s="312">
        <v>48</v>
      </c>
      <c r="F78" s="312">
        <f t="shared" si="4"/>
        <v>480000</v>
      </c>
    </row>
    <row r="79" spans="1:7" ht="12" customHeight="1">
      <c r="A79" s="331" t="s">
        <v>296</v>
      </c>
      <c r="B79" s="332" t="s">
        <v>221</v>
      </c>
      <c r="C79" s="332">
        <v>160</v>
      </c>
      <c r="D79" s="332" t="s">
        <v>251</v>
      </c>
      <c r="E79" s="312">
        <v>3200</v>
      </c>
      <c r="F79" s="312">
        <f t="shared" si="4"/>
        <v>512000</v>
      </c>
    </row>
    <row r="80" spans="1:7" ht="12" customHeight="1">
      <c r="A80" s="331" t="s">
        <v>297</v>
      </c>
      <c r="B80" s="332" t="s">
        <v>221</v>
      </c>
      <c r="C80" s="332">
        <v>1</v>
      </c>
      <c r="D80" s="332" t="s">
        <v>251</v>
      </c>
      <c r="E80" s="312">
        <v>389130</v>
      </c>
      <c r="F80" s="312">
        <f t="shared" si="4"/>
        <v>389130</v>
      </c>
    </row>
    <row r="81" spans="1:6" ht="12" customHeight="1">
      <c r="A81" s="331" t="s">
        <v>298</v>
      </c>
      <c r="B81" s="332" t="s">
        <v>221</v>
      </c>
      <c r="C81" s="332">
        <v>1</v>
      </c>
      <c r="D81" s="332" t="s">
        <v>251</v>
      </c>
      <c r="E81" s="312">
        <v>214367</v>
      </c>
      <c r="F81" s="312">
        <f t="shared" si="4"/>
        <v>214367</v>
      </c>
    </row>
    <row r="82" spans="1:6" ht="12" customHeight="1">
      <c r="A82" s="331" t="s">
        <v>299</v>
      </c>
      <c r="B82" s="332" t="s">
        <v>221</v>
      </c>
      <c r="C82" s="332">
        <v>1</v>
      </c>
      <c r="D82" s="332" t="s">
        <v>251</v>
      </c>
      <c r="E82" s="312">
        <v>124998</v>
      </c>
      <c r="F82" s="312">
        <f t="shared" si="4"/>
        <v>124998</v>
      </c>
    </row>
    <row r="83" spans="1:6" ht="12.75" customHeight="1">
      <c r="A83" s="331" t="s">
        <v>300</v>
      </c>
      <c r="B83" s="332" t="s">
        <v>221</v>
      </c>
      <c r="C83" s="332">
        <v>1</v>
      </c>
      <c r="D83" s="332" t="s">
        <v>251</v>
      </c>
      <c r="E83" s="312">
        <v>668956</v>
      </c>
      <c r="F83" s="312">
        <f t="shared" si="4"/>
        <v>668956</v>
      </c>
    </row>
    <row r="84" spans="1:6" ht="12" customHeight="1">
      <c r="A84" s="331" t="s">
        <v>301</v>
      </c>
      <c r="B84" s="332" t="s">
        <v>221</v>
      </c>
      <c r="C84" s="332">
        <v>1</v>
      </c>
      <c r="D84" s="332" t="s">
        <v>302</v>
      </c>
      <c r="E84" s="312">
        <v>30000</v>
      </c>
      <c r="F84" s="312">
        <f t="shared" si="4"/>
        <v>30000</v>
      </c>
    </row>
    <row r="85" spans="1:6" ht="12.75" customHeight="1">
      <c r="A85" s="331" t="s">
        <v>303</v>
      </c>
      <c r="B85" s="332" t="s">
        <v>293</v>
      </c>
      <c r="C85" s="311">
        <v>8000</v>
      </c>
      <c r="D85" s="332" t="s">
        <v>304</v>
      </c>
      <c r="E85" s="331">
        <v>120</v>
      </c>
      <c r="F85" s="312">
        <f t="shared" si="4"/>
        <v>960000</v>
      </c>
    </row>
    <row r="86" spans="1:6" ht="12" customHeight="1">
      <c r="A86" s="331" t="s">
        <v>305</v>
      </c>
      <c r="B86" s="332" t="s">
        <v>306</v>
      </c>
      <c r="C86" s="311">
        <v>6000</v>
      </c>
      <c r="D86" s="311" t="s">
        <v>243</v>
      </c>
      <c r="E86" s="312">
        <v>111</v>
      </c>
      <c r="F86" s="312">
        <f t="shared" si="4"/>
        <v>666000</v>
      </c>
    </row>
    <row r="87" spans="1:6" ht="12" customHeight="1">
      <c r="A87" s="331" t="s">
        <v>307</v>
      </c>
      <c r="B87" s="332" t="s">
        <v>221</v>
      </c>
      <c r="C87" s="332">
        <v>400</v>
      </c>
      <c r="D87" s="332" t="s">
        <v>245</v>
      </c>
      <c r="E87" s="312">
        <v>1350</v>
      </c>
      <c r="F87" s="312">
        <f t="shared" si="4"/>
        <v>540000</v>
      </c>
    </row>
    <row r="88" spans="1:6" ht="20.25" customHeight="1">
      <c r="A88" s="583" t="s">
        <v>39</v>
      </c>
      <c r="B88" s="584"/>
      <c r="C88" s="584"/>
      <c r="D88" s="584"/>
      <c r="E88" s="585"/>
      <c r="F88" s="333">
        <f>SUM(F75:F87)</f>
        <v>4659651</v>
      </c>
    </row>
    <row r="89" spans="1:6" ht="15.6" customHeight="1" thickBot="1">
      <c r="A89" s="287"/>
      <c r="B89" s="261"/>
      <c r="C89" s="261"/>
      <c r="D89" s="261"/>
      <c r="E89" s="95"/>
      <c r="F89" s="287"/>
    </row>
    <row r="90" spans="1:6" ht="11.25" customHeight="1">
      <c r="A90" s="350" t="s">
        <v>40</v>
      </c>
      <c r="B90" s="351"/>
      <c r="C90" s="351"/>
      <c r="D90" s="351"/>
      <c r="E90" s="352"/>
      <c r="F90" s="353">
        <f>F88+F71+F43+F28</f>
        <v>19562153.025000002</v>
      </c>
    </row>
    <row r="91" spans="1:6" ht="11.25" customHeight="1">
      <c r="A91" s="354" t="s">
        <v>41</v>
      </c>
      <c r="B91" s="355"/>
      <c r="C91" s="355"/>
      <c r="D91" s="355"/>
      <c r="E91" s="356"/>
      <c r="F91" s="357">
        <f>F90*5%</f>
        <v>978107.65125000011</v>
      </c>
    </row>
    <row r="92" spans="1:6" ht="11.25" customHeight="1">
      <c r="A92" s="354" t="s">
        <v>42</v>
      </c>
      <c r="B92" s="355"/>
      <c r="C92" s="355"/>
      <c r="D92" s="355"/>
      <c r="E92" s="356"/>
      <c r="F92" s="357">
        <f>SUM(F90:F91)</f>
        <v>20540260.676250003</v>
      </c>
    </row>
    <row r="93" spans="1:6" ht="11.25" customHeight="1" thickBot="1">
      <c r="A93" s="358" t="s">
        <v>43</v>
      </c>
      <c r="B93" s="359"/>
      <c r="C93" s="359"/>
      <c r="D93" s="359"/>
      <c r="E93" s="360"/>
      <c r="F93" s="361">
        <f>F11</f>
        <v>30000000</v>
      </c>
    </row>
    <row r="94" spans="1:6" ht="15.75" customHeight="1" thickBot="1">
      <c r="A94" s="362" t="s">
        <v>44</v>
      </c>
      <c r="B94" s="363"/>
      <c r="C94" s="363"/>
      <c r="D94" s="363"/>
      <c r="E94" s="364"/>
      <c r="F94" s="365">
        <f>+F93-F92</f>
        <v>9459739.3237499967</v>
      </c>
    </row>
    <row r="95" spans="1:6" ht="11.25" customHeight="1">
      <c r="A95" s="197" t="s">
        <v>104</v>
      </c>
      <c r="B95" s="197"/>
      <c r="C95" s="197"/>
      <c r="D95" s="197"/>
      <c r="E95" s="197"/>
      <c r="F95" s="197"/>
    </row>
    <row r="96" spans="1:6" ht="11.25" customHeight="1" thickBot="1"/>
    <row r="97" spans="1:6" ht="11.25" customHeight="1">
      <c r="A97" s="48" t="s">
        <v>45</v>
      </c>
      <c r="B97" s="49"/>
      <c r="C97" s="49"/>
      <c r="D97" s="49"/>
      <c r="E97" s="50"/>
      <c r="F97" s="32"/>
    </row>
    <row r="98" spans="1:6" ht="11.25" customHeight="1">
      <c r="A98" s="51" t="s">
        <v>46</v>
      </c>
      <c r="B98" s="34"/>
      <c r="C98" s="34"/>
      <c r="D98" s="34"/>
      <c r="E98" s="52"/>
      <c r="F98" s="32"/>
    </row>
    <row r="99" spans="1:6" ht="11.25" customHeight="1">
      <c r="A99" s="51" t="s">
        <v>47</v>
      </c>
      <c r="B99" s="34"/>
      <c r="C99" s="34"/>
      <c r="D99" s="34"/>
      <c r="E99" s="52"/>
      <c r="F99" s="32"/>
    </row>
    <row r="100" spans="1:6" ht="11.25" customHeight="1">
      <c r="A100" s="51" t="s">
        <v>48</v>
      </c>
      <c r="B100" s="34"/>
      <c r="C100" s="34"/>
      <c r="D100" s="34"/>
      <c r="E100" s="52"/>
      <c r="F100" s="32"/>
    </row>
    <row r="101" spans="1:6" ht="11.25" customHeight="1">
      <c r="A101" s="51" t="s">
        <v>49</v>
      </c>
      <c r="B101" s="34"/>
      <c r="C101" s="34"/>
      <c r="D101" s="34"/>
      <c r="E101" s="52"/>
      <c r="F101" s="32"/>
    </row>
    <row r="102" spans="1:6" ht="11.25" customHeight="1">
      <c r="A102" s="51" t="s">
        <v>50</v>
      </c>
      <c r="B102" s="34"/>
      <c r="C102" s="34"/>
      <c r="D102" s="34"/>
      <c r="E102" s="52"/>
      <c r="F102" s="32"/>
    </row>
    <row r="103" spans="1:6" ht="11.25" customHeight="1" thickBot="1">
      <c r="A103" s="53" t="s">
        <v>51</v>
      </c>
      <c r="B103" s="54"/>
      <c r="C103" s="54"/>
      <c r="D103" s="54"/>
      <c r="E103" s="55"/>
      <c r="F103" s="32"/>
    </row>
    <row r="104" spans="1:6" ht="11.25" customHeight="1">
      <c r="A104" s="46"/>
      <c r="B104" s="34"/>
      <c r="C104" s="34"/>
      <c r="D104" s="34"/>
      <c r="E104" s="34"/>
      <c r="F104" s="32"/>
    </row>
    <row r="105" spans="1:6" ht="11.25" customHeight="1" thickBot="1">
      <c r="A105" s="561" t="s">
        <v>52</v>
      </c>
      <c r="B105" s="562"/>
      <c r="C105" s="45"/>
      <c r="D105" s="26"/>
      <c r="E105" s="26"/>
      <c r="F105" s="32"/>
    </row>
    <row r="106" spans="1:6" ht="11.25" customHeight="1">
      <c r="A106" s="38" t="s">
        <v>38</v>
      </c>
      <c r="B106" s="27" t="s">
        <v>53</v>
      </c>
      <c r="C106" s="39" t="s">
        <v>54</v>
      </c>
      <c r="D106" s="26"/>
      <c r="E106" s="26"/>
      <c r="F106" s="32"/>
    </row>
    <row r="107" spans="1:6" ht="11.25" customHeight="1">
      <c r="A107" s="40" t="s">
        <v>55</v>
      </c>
      <c r="B107" s="28">
        <f>F28</f>
        <v>9126800</v>
      </c>
      <c r="C107" s="41">
        <f>(B107/B113)</f>
        <v>0.44433710671223392</v>
      </c>
      <c r="D107" s="26"/>
      <c r="E107" s="26"/>
      <c r="F107" s="32"/>
    </row>
    <row r="108" spans="1:6" ht="11.25" customHeight="1">
      <c r="A108" s="40" t="s">
        <v>56</v>
      </c>
      <c r="B108" s="28">
        <f>F33</f>
        <v>0</v>
      </c>
      <c r="C108" s="41">
        <f>B108/B113</f>
        <v>0</v>
      </c>
      <c r="D108" s="26"/>
      <c r="E108" s="26"/>
      <c r="F108" s="32"/>
    </row>
    <row r="109" spans="1:6" ht="11.25" customHeight="1">
      <c r="A109" s="40" t="s">
        <v>57</v>
      </c>
      <c r="B109" s="28">
        <f>F43</f>
        <v>796500</v>
      </c>
      <c r="C109" s="41">
        <f>(B109/B113)</f>
        <v>3.8777502026591394E-2</v>
      </c>
      <c r="D109" s="26"/>
      <c r="E109" s="26"/>
      <c r="F109" s="32"/>
    </row>
    <row r="110" spans="1:6" ht="11.25" customHeight="1">
      <c r="A110" s="40" t="s">
        <v>31</v>
      </c>
      <c r="B110" s="28">
        <f>F71</f>
        <v>4979202.0250000013</v>
      </c>
      <c r="C110" s="41">
        <f>(B110/B113)</f>
        <v>0.2424118224924614</v>
      </c>
      <c r="D110" s="26"/>
      <c r="E110" s="26"/>
      <c r="F110" s="32"/>
    </row>
    <row r="111" spans="1:6" ht="11.25" customHeight="1">
      <c r="A111" s="40" t="s">
        <v>58</v>
      </c>
      <c r="B111" s="29">
        <f>F88</f>
        <v>4659651</v>
      </c>
      <c r="C111" s="41">
        <f>(B111/B113)</f>
        <v>0.22685452114966556</v>
      </c>
      <c r="D111" s="31"/>
      <c r="E111" s="31"/>
      <c r="F111" s="32"/>
    </row>
    <row r="112" spans="1:6" ht="11.25" customHeight="1">
      <c r="A112" s="40" t="s">
        <v>59</v>
      </c>
      <c r="B112" s="29">
        <f>F91</f>
        <v>978107.65125000011</v>
      </c>
      <c r="C112" s="41">
        <f>(B112/B113)</f>
        <v>4.7619047619047616E-2</v>
      </c>
      <c r="D112" s="31"/>
      <c r="E112" s="31"/>
      <c r="F112" s="32"/>
    </row>
    <row r="113" spans="1:6" ht="11.25" customHeight="1" thickBot="1">
      <c r="A113" s="42" t="s">
        <v>60</v>
      </c>
      <c r="B113" s="43">
        <f>SUM(B107:B112)</f>
        <v>20540260.676250003</v>
      </c>
      <c r="C113" s="44">
        <f>SUM(C107:C112)</f>
        <v>1</v>
      </c>
      <c r="D113" s="31"/>
      <c r="E113" s="31"/>
      <c r="F113" s="32"/>
    </row>
    <row r="114" spans="1:6" ht="11.25" customHeight="1">
      <c r="A114" s="36"/>
      <c r="B114" s="35"/>
      <c r="C114" s="35"/>
      <c r="D114" s="35"/>
      <c r="E114" s="35"/>
      <c r="F114" s="32"/>
    </row>
    <row r="115" spans="1:6" ht="11.25" customHeight="1">
      <c r="A115" s="37"/>
      <c r="B115" s="35"/>
      <c r="C115" s="35"/>
      <c r="D115" s="35"/>
      <c r="E115" s="35"/>
      <c r="F115" s="32"/>
    </row>
    <row r="116" spans="1:6" ht="11.25" customHeight="1" thickBot="1">
      <c r="A116" s="57"/>
      <c r="B116" s="58" t="s">
        <v>61</v>
      </c>
      <c r="C116" s="59"/>
      <c r="D116" s="60"/>
      <c r="E116" s="30"/>
      <c r="F116" s="32"/>
    </row>
    <row r="117" spans="1:6" ht="11.25" customHeight="1">
      <c r="A117" s="61" t="s">
        <v>308</v>
      </c>
      <c r="B117" s="99">
        <v>25000</v>
      </c>
      <c r="C117" s="99">
        <v>30000</v>
      </c>
      <c r="D117" s="326">
        <v>35000</v>
      </c>
      <c r="E117" s="56"/>
      <c r="F117" s="33"/>
    </row>
    <row r="118" spans="1:6" ht="11.25" customHeight="1" thickBot="1">
      <c r="A118" s="103" t="s">
        <v>312</v>
      </c>
      <c r="B118" s="101">
        <f>$F$92/B117</f>
        <v>821.61042705000011</v>
      </c>
      <c r="C118" s="101">
        <f t="shared" ref="C118:D118" si="5">$F$92/C117</f>
        <v>684.67535587500015</v>
      </c>
      <c r="D118" s="341">
        <f t="shared" si="5"/>
        <v>586.86459075000005</v>
      </c>
      <c r="E118" s="56"/>
      <c r="F118" s="33"/>
    </row>
  </sheetData>
  <mergeCells count="13">
    <mergeCell ref="D14:E14"/>
    <mergeCell ref="D8:E8"/>
    <mergeCell ref="D9:E9"/>
    <mergeCell ref="D10:E10"/>
    <mergeCell ref="D12:E12"/>
    <mergeCell ref="D13:E13"/>
    <mergeCell ref="A88:E88"/>
    <mergeCell ref="A105:B105"/>
    <mergeCell ref="A16:F16"/>
    <mergeCell ref="A28:E28"/>
    <mergeCell ref="A33:E33"/>
    <mergeCell ref="A43:E43"/>
    <mergeCell ref="A71:E71"/>
  </mergeCells>
  <pageMargins left="0.7" right="0.7" top="0.75" bottom="0.75" header="0.3" footer="0.3"/>
  <pageSetup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18"/>
  <sheetViews>
    <sheetView workbookViewId="0">
      <selection sqref="A1:XFD1048576"/>
    </sheetView>
  </sheetViews>
  <sheetFormatPr baseColWidth="10" defaultColWidth="10.85546875" defaultRowHeight="11.25" customHeight="1"/>
  <cols>
    <col min="1" max="1" width="34.7109375" style="1" customWidth="1"/>
    <col min="2" max="2" width="19.42578125" style="1" customWidth="1"/>
    <col min="3" max="3" width="9.42578125" style="1" customWidth="1"/>
    <col min="4" max="4" width="17.7109375" style="1" customWidth="1"/>
    <col min="5" max="5" width="11" style="1" customWidth="1"/>
    <col min="6" max="6" width="19.5703125" style="1" customWidth="1"/>
    <col min="7" max="254" width="10.85546875" style="1" customWidth="1"/>
  </cols>
  <sheetData>
    <row r="1" spans="1:6" ht="15" customHeight="1">
      <c r="A1" s="2"/>
      <c r="B1" s="2"/>
      <c r="C1" s="2"/>
      <c r="D1" s="2"/>
      <c r="E1" s="2"/>
      <c r="F1" s="2"/>
    </row>
    <row r="2" spans="1:6" ht="15" customHeight="1">
      <c r="A2" s="2"/>
      <c r="B2" s="2"/>
      <c r="C2" s="2"/>
      <c r="D2" s="2"/>
      <c r="E2" s="2"/>
      <c r="F2" s="2"/>
    </row>
    <row r="3" spans="1:6" ht="15" customHeight="1">
      <c r="A3" s="2"/>
      <c r="B3" s="2"/>
      <c r="C3" s="2"/>
      <c r="D3" s="2"/>
      <c r="E3" s="2"/>
      <c r="F3" s="2"/>
    </row>
    <row r="4" spans="1:6" ht="15" customHeight="1">
      <c r="A4" s="2"/>
      <c r="B4" s="2"/>
      <c r="C4" s="2"/>
      <c r="D4" s="2"/>
      <c r="E4" s="2"/>
      <c r="F4" s="2"/>
    </row>
    <row r="5" spans="1:6" ht="15" customHeight="1">
      <c r="A5" s="2"/>
      <c r="B5" s="2"/>
      <c r="C5" s="2"/>
      <c r="D5" s="2"/>
      <c r="E5" s="2"/>
      <c r="F5" s="2"/>
    </row>
    <row r="6" spans="1:6" ht="15" customHeight="1">
      <c r="A6" s="2"/>
      <c r="B6" s="2"/>
      <c r="C6" s="2"/>
      <c r="D6" s="2"/>
      <c r="E6" s="2"/>
      <c r="F6" s="2"/>
    </row>
    <row r="7" spans="1:6" ht="15" customHeight="1">
      <c r="A7" s="3"/>
      <c r="B7" s="4"/>
      <c r="C7" s="2"/>
      <c r="D7" s="4"/>
      <c r="E7" s="4"/>
      <c r="F7" s="4"/>
    </row>
    <row r="8" spans="1:6" ht="12" customHeight="1">
      <c r="A8" s="5" t="s">
        <v>0</v>
      </c>
      <c r="B8" s="301" t="s">
        <v>224</v>
      </c>
      <c r="C8" s="6"/>
      <c r="D8" s="565" t="s">
        <v>227</v>
      </c>
      <c r="E8" s="566"/>
      <c r="F8" s="241">
        <v>32000</v>
      </c>
    </row>
    <row r="9" spans="1:6" ht="20.25" customHeight="1">
      <c r="A9" s="8" t="s">
        <v>1</v>
      </c>
      <c r="B9" s="366" t="s">
        <v>314</v>
      </c>
      <c r="C9" s="10"/>
      <c r="D9" s="563" t="s">
        <v>2</v>
      </c>
      <c r="E9" s="564"/>
      <c r="F9" s="11" t="s">
        <v>310</v>
      </c>
    </row>
    <row r="10" spans="1:6" ht="18" customHeight="1">
      <c r="A10" s="8" t="s">
        <v>3</v>
      </c>
      <c r="B10" s="218" t="s">
        <v>4</v>
      </c>
      <c r="C10" s="10"/>
      <c r="D10" s="563" t="s">
        <v>226</v>
      </c>
      <c r="E10" s="564"/>
      <c r="F10" s="134">
        <v>1000</v>
      </c>
    </row>
    <row r="11" spans="1:6" ht="11.25" customHeight="1">
      <c r="A11" s="8" t="s">
        <v>5</v>
      </c>
      <c r="B11" s="303" t="s">
        <v>65</v>
      </c>
      <c r="C11" s="10"/>
      <c r="D11" s="96" t="s">
        <v>6</v>
      </c>
      <c r="E11" s="97"/>
      <c r="F11" s="242">
        <f>F10*F8</f>
        <v>32000000</v>
      </c>
    </row>
    <row r="12" spans="1:6" ht="11.25" customHeight="1">
      <c r="A12" s="8" t="s">
        <v>7</v>
      </c>
      <c r="B12" s="218" t="s">
        <v>66</v>
      </c>
      <c r="C12" s="10"/>
      <c r="D12" s="563" t="s">
        <v>8</v>
      </c>
      <c r="E12" s="564"/>
      <c r="F12" s="11" t="s">
        <v>228</v>
      </c>
    </row>
    <row r="13" spans="1:6" ht="13.5" customHeight="1">
      <c r="A13" s="8" t="s">
        <v>9</v>
      </c>
      <c r="B13" s="218" t="s">
        <v>66</v>
      </c>
      <c r="C13" s="10"/>
      <c r="D13" s="563" t="s">
        <v>10</v>
      </c>
      <c r="E13" s="564"/>
      <c r="F13" s="11" t="s">
        <v>311</v>
      </c>
    </row>
    <row r="14" spans="1:6" ht="29.25" customHeight="1">
      <c r="A14" s="8" t="s">
        <v>11</v>
      </c>
      <c r="B14" s="339">
        <v>44197</v>
      </c>
      <c r="C14" s="10"/>
      <c r="D14" s="567" t="s">
        <v>12</v>
      </c>
      <c r="E14" s="568"/>
      <c r="F14" s="303" t="s">
        <v>229</v>
      </c>
    </row>
    <row r="15" spans="1:6" ht="12" customHeight="1">
      <c r="A15" s="18"/>
      <c r="B15" s="19"/>
      <c r="C15" s="20"/>
      <c r="D15" s="21"/>
      <c r="E15" s="21"/>
      <c r="F15" s="22"/>
    </row>
    <row r="16" spans="1:6" ht="12" customHeight="1">
      <c r="A16" s="569" t="s">
        <v>14</v>
      </c>
      <c r="B16" s="570"/>
      <c r="C16" s="570"/>
      <c r="D16" s="570"/>
      <c r="E16" s="570"/>
      <c r="F16" s="570"/>
    </row>
    <row r="17" spans="1:7" ht="12" customHeight="1">
      <c r="A17" s="23"/>
      <c r="B17" s="24"/>
      <c r="C17" s="24"/>
      <c r="D17" s="24"/>
      <c r="E17" s="25"/>
      <c r="F17" s="25"/>
    </row>
    <row r="18" spans="1:7" ht="12" customHeight="1">
      <c r="A18" s="367" t="s">
        <v>15</v>
      </c>
      <c r="B18" s="368"/>
      <c r="C18" s="368"/>
      <c r="D18" s="369"/>
      <c r="E18" s="368"/>
      <c r="F18" s="368"/>
      <c r="G18" s="238"/>
    </row>
    <row r="19" spans="1:7" ht="24" customHeight="1">
      <c r="A19" s="370" t="s">
        <v>16</v>
      </c>
      <c r="B19" s="370" t="s">
        <v>17</v>
      </c>
      <c r="C19" s="370" t="s">
        <v>18</v>
      </c>
      <c r="D19" s="370" t="s">
        <v>315</v>
      </c>
      <c r="E19" s="370" t="s">
        <v>20</v>
      </c>
      <c r="F19" s="370" t="s">
        <v>21</v>
      </c>
      <c r="G19" s="238"/>
    </row>
    <row r="20" spans="1:7" ht="12.75" customHeight="1">
      <c r="A20" s="371" t="s">
        <v>316</v>
      </c>
      <c r="B20" s="372" t="s">
        <v>22</v>
      </c>
      <c r="C20" s="373">
        <v>1</v>
      </c>
      <c r="D20" s="374" t="s">
        <v>317</v>
      </c>
      <c r="E20" s="375">
        <v>20000</v>
      </c>
      <c r="F20" s="376">
        <f>E20*C20</f>
        <v>20000</v>
      </c>
      <c r="G20" s="306"/>
    </row>
    <row r="21" spans="1:7" ht="14.25" customHeight="1">
      <c r="A21" s="377" t="s">
        <v>318</v>
      </c>
      <c r="B21" s="372" t="s">
        <v>22</v>
      </c>
      <c r="C21" s="378">
        <v>35</v>
      </c>
      <c r="D21" s="374" t="s">
        <v>317</v>
      </c>
      <c r="E21" s="375">
        <v>20000</v>
      </c>
      <c r="F21" s="376">
        <f t="shared" ref="F21:F26" si="0">E21*C21</f>
        <v>700000</v>
      </c>
      <c r="G21" s="306"/>
    </row>
    <row r="22" spans="1:7" ht="12.75" customHeight="1">
      <c r="A22" s="371" t="s">
        <v>319</v>
      </c>
      <c r="B22" s="372" t="s">
        <v>22</v>
      </c>
      <c r="C22" s="378">
        <v>10</v>
      </c>
      <c r="D22" s="374" t="s">
        <v>317</v>
      </c>
      <c r="E22" s="375">
        <v>20000</v>
      </c>
      <c r="F22" s="376">
        <f t="shared" si="0"/>
        <v>200000</v>
      </c>
      <c r="G22" s="306"/>
    </row>
    <row r="23" spans="1:7" ht="12.75" customHeight="1">
      <c r="A23" s="371" t="s">
        <v>320</v>
      </c>
      <c r="B23" s="372" t="s">
        <v>22</v>
      </c>
      <c r="C23" s="378">
        <v>20</v>
      </c>
      <c r="D23" s="374" t="s">
        <v>317</v>
      </c>
      <c r="E23" s="375">
        <v>20000</v>
      </c>
      <c r="F23" s="376">
        <f t="shared" si="0"/>
        <v>400000</v>
      </c>
      <c r="G23" s="306"/>
    </row>
    <row r="24" spans="1:7" ht="12" customHeight="1">
      <c r="A24" s="371" t="s">
        <v>321</v>
      </c>
      <c r="B24" s="372" t="s">
        <v>22</v>
      </c>
      <c r="C24" s="378">
        <v>4</v>
      </c>
      <c r="D24" s="374" t="s">
        <v>317</v>
      </c>
      <c r="E24" s="375">
        <v>20000</v>
      </c>
      <c r="F24" s="376">
        <f t="shared" si="0"/>
        <v>80000</v>
      </c>
      <c r="G24" s="306"/>
    </row>
    <row r="25" spans="1:7" ht="12" customHeight="1">
      <c r="A25" s="379" t="s">
        <v>322</v>
      </c>
      <c r="B25" s="372" t="s">
        <v>22</v>
      </c>
      <c r="C25" s="380">
        <v>30</v>
      </c>
      <c r="D25" s="374" t="s">
        <v>317</v>
      </c>
      <c r="E25" s="375">
        <v>20000</v>
      </c>
      <c r="F25" s="376">
        <f t="shared" si="0"/>
        <v>600000</v>
      </c>
      <c r="G25" s="306"/>
    </row>
    <row r="26" spans="1:7" ht="24" customHeight="1">
      <c r="A26" s="371" t="s">
        <v>118</v>
      </c>
      <c r="B26" s="366" t="s">
        <v>22</v>
      </c>
      <c r="C26" s="381">
        <f>60*7</f>
        <v>420</v>
      </c>
      <c r="D26" s="374" t="s">
        <v>323</v>
      </c>
      <c r="E26" s="375">
        <v>20000</v>
      </c>
      <c r="F26" s="382">
        <f t="shared" si="0"/>
        <v>8400000</v>
      </c>
      <c r="G26" s="306"/>
    </row>
    <row r="27" spans="1:7" ht="12" customHeight="1">
      <c r="A27" s="383" t="s">
        <v>324</v>
      </c>
      <c r="B27" s="366" t="s">
        <v>22</v>
      </c>
      <c r="C27" s="373">
        <v>65</v>
      </c>
      <c r="D27" s="374" t="s">
        <v>317</v>
      </c>
      <c r="E27" s="375">
        <v>20000</v>
      </c>
      <c r="F27" s="376">
        <f>E27*C27</f>
        <v>1300000</v>
      </c>
      <c r="G27" s="306"/>
    </row>
    <row r="28" spans="1:7" ht="12" customHeight="1">
      <c r="A28" s="384" t="s">
        <v>23</v>
      </c>
      <c r="B28" s="385"/>
      <c r="C28" s="385"/>
      <c r="D28" s="385"/>
      <c r="E28" s="386"/>
      <c r="F28" s="386">
        <f>SUM(F20:F26)</f>
        <v>10400000</v>
      </c>
      <c r="G28" s="306"/>
    </row>
    <row r="29" spans="1:7" ht="12" customHeight="1">
      <c r="A29" s="368"/>
      <c r="B29" s="368"/>
      <c r="C29" s="368"/>
      <c r="D29" s="368"/>
      <c r="E29" s="387"/>
      <c r="F29" s="387"/>
      <c r="G29" s="306"/>
    </row>
    <row r="30" spans="1:7" ht="12" customHeight="1">
      <c r="A30" s="388"/>
      <c r="B30" s="388"/>
      <c r="C30" s="388"/>
      <c r="D30" s="388"/>
      <c r="E30" s="389"/>
      <c r="F30" s="389"/>
      <c r="G30" s="306"/>
    </row>
    <row r="31" spans="1:7" ht="24" customHeight="1">
      <c r="A31" s="367" t="s">
        <v>26</v>
      </c>
      <c r="B31" s="388"/>
      <c r="C31" s="388"/>
      <c r="D31" s="388"/>
      <c r="E31" s="389"/>
      <c r="F31" s="389"/>
      <c r="G31" s="306"/>
    </row>
    <row r="32" spans="1:7" ht="12.75" customHeight="1">
      <c r="A32" s="370" t="s">
        <v>16</v>
      </c>
      <c r="B32" s="370" t="s">
        <v>17</v>
      </c>
      <c r="C32" s="370" t="s">
        <v>18</v>
      </c>
      <c r="D32" s="370" t="s">
        <v>315</v>
      </c>
      <c r="E32" s="390" t="s">
        <v>20</v>
      </c>
      <c r="F32" s="390" t="s">
        <v>21</v>
      </c>
      <c r="G32" s="306"/>
    </row>
    <row r="33" spans="1:7" ht="30" customHeight="1">
      <c r="A33" s="371" t="s">
        <v>325</v>
      </c>
      <c r="B33" s="372" t="s">
        <v>162</v>
      </c>
      <c r="C33" s="373">
        <v>0.5</v>
      </c>
      <c r="D33" s="374" t="s">
        <v>116</v>
      </c>
      <c r="E33" s="391">
        <v>180000</v>
      </c>
      <c r="F33" s="376">
        <f>E33*C33</f>
        <v>90000</v>
      </c>
      <c r="G33" s="306"/>
    </row>
    <row r="34" spans="1:7" ht="12.75" customHeight="1">
      <c r="A34" s="371" t="s">
        <v>326</v>
      </c>
      <c r="B34" s="372" t="s">
        <v>162</v>
      </c>
      <c r="C34" s="373">
        <v>0.35</v>
      </c>
      <c r="D34" s="374" t="s">
        <v>116</v>
      </c>
      <c r="E34" s="391">
        <v>180000</v>
      </c>
      <c r="F34" s="376">
        <f>E34*C34</f>
        <v>62999.999999999993</v>
      </c>
      <c r="G34" s="306"/>
    </row>
    <row r="35" spans="1:7" ht="12.75" customHeight="1">
      <c r="A35" s="371" t="s">
        <v>326</v>
      </c>
      <c r="B35" s="372" t="s">
        <v>162</v>
      </c>
      <c r="C35" s="373">
        <v>0.35</v>
      </c>
      <c r="D35" s="374" t="s">
        <v>116</v>
      </c>
      <c r="E35" s="391">
        <v>180000</v>
      </c>
      <c r="F35" s="376">
        <f>E35*C35</f>
        <v>62999.999999999993</v>
      </c>
      <c r="G35" s="306"/>
    </row>
    <row r="36" spans="1:7" ht="12.75" customHeight="1">
      <c r="A36" s="384" t="s">
        <v>254</v>
      </c>
      <c r="B36" s="385"/>
      <c r="C36" s="385"/>
      <c r="D36" s="385"/>
      <c r="E36" s="386"/>
      <c r="F36" s="386">
        <f>SUM(F33:F35)</f>
        <v>216000</v>
      </c>
      <c r="G36" s="306"/>
    </row>
    <row r="37" spans="1:7" ht="12.75" customHeight="1">
      <c r="A37" s="388"/>
      <c r="B37" s="388"/>
      <c r="C37" s="388"/>
      <c r="D37" s="388"/>
      <c r="E37" s="389"/>
      <c r="F37" s="389"/>
      <c r="G37" s="306"/>
    </row>
    <row r="38" spans="1:7" ht="25.5" customHeight="1">
      <c r="A38" s="367" t="s">
        <v>30</v>
      </c>
      <c r="B38" s="388"/>
      <c r="C38" s="388"/>
      <c r="D38" s="388"/>
      <c r="E38" s="389"/>
      <c r="F38" s="389"/>
      <c r="G38" s="306"/>
    </row>
    <row r="39" spans="1:7" ht="9.75" customHeight="1">
      <c r="A39" s="370" t="s">
        <v>327</v>
      </c>
      <c r="B39" s="370" t="s">
        <v>17</v>
      </c>
      <c r="C39" s="370" t="s">
        <v>328</v>
      </c>
      <c r="D39" s="370" t="s">
        <v>315</v>
      </c>
      <c r="E39" s="390" t="s">
        <v>20</v>
      </c>
      <c r="F39" s="390" t="s">
        <v>21</v>
      </c>
      <c r="G39" s="306"/>
    </row>
    <row r="40" spans="1:7" ht="25.5" customHeight="1">
      <c r="A40" s="392" t="s">
        <v>329</v>
      </c>
      <c r="B40" s="393"/>
      <c r="C40" s="393"/>
      <c r="D40" s="393"/>
      <c r="E40" s="394"/>
      <c r="F40" s="394"/>
      <c r="G40" s="306"/>
    </row>
    <row r="41" spans="1:7" ht="22.5" customHeight="1">
      <c r="A41" s="395" t="s">
        <v>330</v>
      </c>
      <c r="B41" s="396" t="s">
        <v>331</v>
      </c>
      <c r="C41" s="397">
        <v>38000</v>
      </c>
      <c r="D41" s="398" t="s">
        <v>273</v>
      </c>
      <c r="E41" s="399">
        <v>90</v>
      </c>
      <c r="F41" s="400">
        <f>E41*C41</f>
        <v>3420000</v>
      </c>
      <c r="G41" s="306"/>
    </row>
    <row r="42" spans="1:7" ht="12.75" customHeight="1">
      <c r="A42" s="401" t="s">
        <v>34</v>
      </c>
      <c r="B42" s="396"/>
      <c r="C42" s="402"/>
      <c r="D42" s="398"/>
      <c r="E42" s="399"/>
      <c r="F42" s="400"/>
      <c r="G42" s="306"/>
    </row>
    <row r="43" spans="1:7" ht="12.75" customHeight="1">
      <c r="A43" s="395" t="s">
        <v>332</v>
      </c>
      <c r="B43" s="396" t="s">
        <v>216</v>
      </c>
      <c r="C43" s="403">
        <v>350</v>
      </c>
      <c r="D43" s="398" t="s">
        <v>174</v>
      </c>
      <c r="E43" s="404">
        <v>450</v>
      </c>
      <c r="F43" s="400">
        <f t="shared" ref="F43:F44" si="1">E43*C43</f>
        <v>157500</v>
      </c>
      <c r="G43" s="306"/>
    </row>
    <row r="44" spans="1:7" ht="25.5" customHeight="1">
      <c r="A44" s="395" t="s">
        <v>333</v>
      </c>
      <c r="B44" s="396" t="s">
        <v>216</v>
      </c>
      <c r="C44" s="403">
        <v>200</v>
      </c>
      <c r="D44" s="398" t="s">
        <v>174</v>
      </c>
      <c r="E44" s="404">
        <v>796</v>
      </c>
      <c r="F44" s="400">
        <f t="shared" si="1"/>
        <v>159200</v>
      </c>
      <c r="G44" s="306"/>
    </row>
    <row r="45" spans="1:7" ht="12.75" customHeight="1">
      <c r="A45" s="384" t="s">
        <v>334</v>
      </c>
      <c r="B45" s="385"/>
      <c r="C45" s="385"/>
      <c r="D45" s="385"/>
      <c r="E45" s="386"/>
      <c r="F45" s="386">
        <f>SUM(F41:F44)</f>
        <v>3736700</v>
      </c>
      <c r="G45" s="306"/>
    </row>
    <row r="46" spans="1:7" ht="12.75" customHeight="1">
      <c r="A46" s="405"/>
      <c r="B46" s="406"/>
      <c r="C46" s="407"/>
      <c r="D46" s="408"/>
      <c r="E46" s="409"/>
      <c r="F46" s="410"/>
      <c r="G46" s="306"/>
    </row>
    <row r="47" spans="1:7" ht="23.25" customHeight="1">
      <c r="A47" s="367" t="s">
        <v>37</v>
      </c>
      <c r="B47" s="388"/>
      <c r="C47" s="388"/>
      <c r="D47" s="388"/>
      <c r="E47" s="389"/>
      <c r="F47" s="389"/>
      <c r="G47" s="306"/>
    </row>
    <row r="48" spans="1:7" ht="12" customHeight="1">
      <c r="A48" s="411" t="s">
        <v>327</v>
      </c>
      <c r="B48" s="411" t="s">
        <v>17</v>
      </c>
      <c r="C48" s="411" t="s">
        <v>18</v>
      </c>
      <c r="D48" s="411" t="s">
        <v>315</v>
      </c>
      <c r="E48" s="412" t="s">
        <v>20</v>
      </c>
      <c r="F48" s="412" t="s">
        <v>21</v>
      </c>
      <c r="G48" s="306"/>
    </row>
    <row r="49" spans="1:10" ht="24" customHeight="1">
      <c r="A49" s="331" t="s">
        <v>292</v>
      </c>
      <c r="B49" s="332" t="s">
        <v>293</v>
      </c>
      <c r="C49" s="311">
        <v>300</v>
      </c>
      <c r="D49" s="332" t="s">
        <v>335</v>
      </c>
      <c r="E49" s="312">
        <v>130</v>
      </c>
      <c r="F49" s="312">
        <f t="shared" ref="F49:F60" si="2">C49*E49</f>
        <v>39000</v>
      </c>
      <c r="G49" s="306"/>
      <c r="J49" s="62"/>
    </row>
    <row r="50" spans="1:10" ht="12.75" customHeight="1">
      <c r="A50" s="331" t="s">
        <v>294</v>
      </c>
      <c r="B50" s="332" t="s">
        <v>221</v>
      </c>
      <c r="C50" s="332">
        <v>160</v>
      </c>
      <c r="D50" s="332" t="s">
        <v>335</v>
      </c>
      <c r="E50" s="312">
        <v>220</v>
      </c>
      <c r="F50" s="312">
        <f t="shared" si="2"/>
        <v>35200</v>
      </c>
      <c r="G50" s="306"/>
      <c r="J50" s="62"/>
    </row>
    <row r="51" spans="1:10" ht="12.75" customHeight="1">
      <c r="A51" s="331" t="s">
        <v>295</v>
      </c>
      <c r="B51" s="332" t="s">
        <v>293</v>
      </c>
      <c r="C51" s="311">
        <v>10000</v>
      </c>
      <c r="D51" s="332" t="s">
        <v>335</v>
      </c>
      <c r="E51" s="312">
        <v>48</v>
      </c>
      <c r="F51" s="312">
        <f t="shared" si="2"/>
        <v>480000</v>
      </c>
      <c r="G51" s="306"/>
    </row>
    <row r="52" spans="1:10" ht="12.75" customHeight="1">
      <c r="A52" s="331" t="s">
        <v>296</v>
      </c>
      <c r="B52" s="332" t="s">
        <v>221</v>
      </c>
      <c r="C52" s="332">
        <v>160</v>
      </c>
      <c r="D52" s="332" t="s">
        <v>335</v>
      </c>
      <c r="E52" s="312">
        <v>3200</v>
      </c>
      <c r="F52" s="312">
        <f t="shared" si="2"/>
        <v>512000</v>
      </c>
      <c r="G52" s="306"/>
    </row>
    <row r="53" spans="1:10" ht="12.75" customHeight="1">
      <c r="A53" s="331" t="s">
        <v>297</v>
      </c>
      <c r="B53" s="332" t="s">
        <v>221</v>
      </c>
      <c r="C53" s="332">
        <v>1</v>
      </c>
      <c r="D53" s="332" t="s">
        <v>335</v>
      </c>
      <c r="E53" s="312">
        <v>389130</v>
      </c>
      <c r="F53" s="312">
        <f t="shared" si="2"/>
        <v>389130</v>
      </c>
      <c r="G53" s="306"/>
    </row>
    <row r="54" spans="1:10" ht="12.75" customHeight="1">
      <c r="A54" s="331" t="s">
        <v>298</v>
      </c>
      <c r="B54" s="332" t="s">
        <v>221</v>
      </c>
      <c r="C54" s="332">
        <v>1</v>
      </c>
      <c r="D54" s="332" t="s">
        <v>335</v>
      </c>
      <c r="E54" s="312">
        <v>214367</v>
      </c>
      <c r="F54" s="312">
        <f t="shared" si="2"/>
        <v>214367</v>
      </c>
      <c r="G54" s="306"/>
    </row>
    <row r="55" spans="1:10" ht="12.75" customHeight="1">
      <c r="A55" s="331" t="s">
        <v>299</v>
      </c>
      <c r="B55" s="332" t="s">
        <v>221</v>
      </c>
      <c r="C55" s="332">
        <v>1</v>
      </c>
      <c r="D55" s="332" t="s">
        <v>335</v>
      </c>
      <c r="E55" s="312">
        <v>124998</v>
      </c>
      <c r="F55" s="312">
        <f t="shared" si="2"/>
        <v>124998</v>
      </c>
      <c r="G55" s="306"/>
    </row>
    <row r="56" spans="1:10" ht="24.75" customHeight="1">
      <c r="A56" s="331" t="s">
        <v>300</v>
      </c>
      <c r="B56" s="332" t="s">
        <v>221</v>
      </c>
      <c r="C56" s="332">
        <v>1</v>
      </c>
      <c r="D56" s="332" t="s">
        <v>335</v>
      </c>
      <c r="E56" s="312">
        <v>668956</v>
      </c>
      <c r="F56" s="312">
        <f t="shared" si="2"/>
        <v>668956</v>
      </c>
      <c r="G56" s="306"/>
    </row>
    <row r="57" spans="1:10" ht="12.75" customHeight="1">
      <c r="A57" s="331" t="s">
        <v>301</v>
      </c>
      <c r="B57" s="332" t="s">
        <v>221</v>
      </c>
      <c r="C57" s="332">
        <v>1</v>
      </c>
      <c r="D57" s="332" t="s">
        <v>335</v>
      </c>
      <c r="E57" s="312">
        <v>30000</v>
      </c>
      <c r="F57" s="312">
        <f t="shared" si="2"/>
        <v>30000</v>
      </c>
      <c r="G57" s="306"/>
    </row>
    <row r="58" spans="1:10" ht="16.5" customHeight="1">
      <c r="A58" s="331" t="s">
        <v>303</v>
      </c>
      <c r="B58" s="332" t="s">
        <v>293</v>
      </c>
      <c r="C58" s="311">
        <v>8000</v>
      </c>
      <c r="D58" s="332" t="s">
        <v>335</v>
      </c>
      <c r="E58" s="331">
        <v>120</v>
      </c>
      <c r="F58" s="312">
        <f t="shared" si="2"/>
        <v>960000</v>
      </c>
      <c r="G58" s="306"/>
    </row>
    <row r="59" spans="1:10" ht="12.75" customHeight="1">
      <c r="A59" s="331" t="s">
        <v>305</v>
      </c>
      <c r="B59" s="332" t="s">
        <v>306</v>
      </c>
      <c r="C59" s="311">
        <v>6000</v>
      </c>
      <c r="D59" s="332" t="s">
        <v>335</v>
      </c>
      <c r="E59" s="312">
        <v>111</v>
      </c>
      <c r="F59" s="312">
        <f t="shared" si="2"/>
        <v>666000</v>
      </c>
      <c r="G59" s="306"/>
    </row>
    <row r="60" spans="1:10" ht="13.5" customHeight="1">
      <c r="A60" s="331" t="s">
        <v>307</v>
      </c>
      <c r="B60" s="332" t="s">
        <v>221</v>
      </c>
      <c r="C60" s="332">
        <v>400</v>
      </c>
      <c r="D60" s="332" t="s">
        <v>336</v>
      </c>
      <c r="E60" s="312">
        <v>1350</v>
      </c>
      <c r="F60" s="312">
        <f t="shared" si="2"/>
        <v>540000</v>
      </c>
      <c r="G60" s="306"/>
    </row>
    <row r="61" spans="1:10" ht="12" customHeight="1">
      <c r="A61" s="384" t="s">
        <v>39</v>
      </c>
      <c r="B61" s="385"/>
      <c r="C61" s="385"/>
      <c r="D61" s="385"/>
      <c r="E61" s="386"/>
      <c r="F61" s="386">
        <f>SUM(F49:F60)</f>
        <v>4659651</v>
      </c>
      <c r="G61" s="306"/>
    </row>
    <row r="62" spans="1:10" ht="12" customHeight="1">
      <c r="A62" s="413"/>
      <c r="B62" s="388"/>
      <c r="C62" s="388"/>
      <c r="D62" s="388"/>
      <c r="E62" s="389"/>
      <c r="F62" s="414"/>
      <c r="G62" s="306"/>
    </row>
    <row r="63" spans="1:10" ht="24" customHeight="1">
      <c r="A63" s="415" t="s">
        <v>40</v>
      </c>
      <c r="B63" s="415"/>
      <c r="C63" s="416"/>
      <c r="D63" s="416"/>
      <c r="E63" s="417"/>
      <c r="F63" s="418">
        <f>F28+F36+F45+F61</f>
        <v>19012351</v>
      </c>
      <c r="G63" s="306"/>
    </row>
    <row r="64" spans="1:10" ht="12.75" customHeight="1">
      <c r="A64" s="419" t="s">
        <v>41</v>
      </c>
      <c r="B64" s="419"/>
      <c r="C64" s="420"/>
      <c r="D64" s="420"/>
      <c r="E64" s="421"/>
      <c r="F64" s="422">
        <f>F63*0.05</f>
        <v>950617.55</v>
      </c>
      <c r="G64" s="306"/>
    </row>
    <row r="65" spans="1:7" ht="12.75" customHeight="1">
      <c r="A65" s="415" t="s">
        <v>42</v>
      </c>
      <c r="B65" s="415"/>
      <c r="C65" s="416"/>
      <c r="D65" s="416"/>
      <c r="E65" s="417"/>
      <c r="F65" s="418">
        <f>+F63+F64</f>
        <v>19962968.550000001</v>
      </c>
      <c r="G65" s="306"/>
    </row>
    <row r="66" spans="1:7" ht="12.75" customHeight="1">
      <c r="A66" s="419" t="s">
        <v>43</v>
      </c>
      <c r="B66" s="419"/>
      <c r="C66" s="420"/>
      <c r="D66" s="420"/>
      <c r="E66" s="421"/>
      <c r="F66" s="422">
        <f>F11</f>
        <v>32000000</v>
      </c>
      <c r="G66" s="306"/>
    </row>
    <row r="67" spans="1:7" ht="12" customHeight="1">
      <c r="A67" s="415" t="s">
        <v>44</v>
      </c>
      <c r="B67" s="415"/>
      <c r="C67" s="416"/>
      <c r="D67" s="416"/>
      <c r="E67" s="417"/>
      <c r="F67" s="418">
        <f>F66-F65</f>
        <v>12037031.449999999</v>
      </c>
    </row>
    <row r="68" spans="1:7" ht="12" customHeight="1">
      <c r="A68" s="423" t="s">
        <v>337</v>
      </c>
      <c r="B68" s="368"/>
      <c r="C68" s="368"/>
      <c r="D68" s="368"/>
      <c r="E68" s="368"/>
      <c r="F68" s="368"/>
    </row>
    <row r="69" spans="1:7" ht="12" customHeight="1">
      <c r="A69" s="331" t="s">
        <v>288</v>
      </c>
      <c r="B69" s="332" t="s">
        <v>219</v>
      </c>
      <c r="C69" s="332">
        <v>0.5</v>
      </c>
      <c r="D69" s="332" t="s">
        <v>172</v>
      </c>
      <c r="E69" s="312">
        <f>79192*1.19</f>
        <v>94238.48</v>
      </c>
      <c r="F69" s="312">
        <f t="shared" ref="F69:F70" si="3">C69*E69</f>
        <v>47119.24</v>
      </c>
    </row>
    <row r="70" spans="1:7" ht="12" customHeight="1">
      <c r="A70" s="331" t="s">
        <v>289</v>
      </c>
      <c r="B70" s="332" t="s">
        <v>219</v>
      </c>
      <c r="C70" s="332">
        <v>2</v>
      </c>
      <c r="D70" s="332" t="s">
        <v>290</v>
      </c>
      <c r="E70" s="312">
        <f>20572*1.19</f>
        <v>24480.68</v>
      </c>
      <c r="F70" s="312">
        <f t="shared" si="3"/>
        <v>48961.36</v>
      </c>
    </row>
    <row r="71" spans="1:7" ht="12" customHeight="1">
      <c r="A71" s="583" t="s">
        <v>36</v>
      </c>
      <c r="B71" s="584"/>
      <c r="C71" s="584"/>
      <c r="D71" s="584"/>
      <c r="E71" s="585"/>
      <c r="F71" s="333">
        <f>SUM(F47:F70)</f>
        <v>93378351.149999991</v>
      </c>
    </row>
    <row r="72" spans="1:7" ht="12" customHeight="1">
      <c r="A72" s="287"/>
      <c r="B72" s="261"/>
      <c r="C72" s="261"/>
      <c r="D72" s="261"/>
      <c r="E72" s="95"/>
      <c r="F72" s="287"/>
    </row>
    <row r="73" spans="1:7" ht="12.75" customHeight="1">
      <c r="A73" s="340" t="s">
        <v>37</v>
      </c>
      <c r="B73" s="261"/>
      <c r="C73" s="261"/>
      <c r="D73" s="261"/>
      <c r="E73" s="95"/>
      <c r="F73" s="95"/>
    </row>
    <row r="74" spans="1:7" ht="12.75" customHeight="1">
      <c r="A74" s="334" t="s">
        <v>38</v>
      </c>
      <c r="B74" s="330" t="s">
        <v>32</v>
      </c>
      <c r="C74" s="330" t="s">
        <v>33</v>
      </c>
      <c r="D74" s="334" t="s">
        <v>19</v>
      </c>
      <c r="E74" s="330" t="s">
        <v>20</v>
      </c>
      <c r="F74" s="334" t="s">
        <v>21</v>
      </c>
    </row>
    <row r="75" spans="1:7" ht="15" customHeight="1">
      <c r="A75" s="337" t="s">
        <v>291</v>
      </c>
      <c r="B75" s="332"/>
      <c r="C75" s="332"/>
      <c r="D75" s="332"/>
      <c r="E75" s="312"/>
      <c r="F75" s="312"/>
    </row>
    <row r="76" spans="1:7" ht="12" customHeight="1">
      <c r="A76" s="331" t="s">
        <v>292</v>
      </c>
      <c r="B76" s="332" t="s">
        <v>293</v>
      </c>
      <c r="C76" s="311">
        <v>300</v>
      </c>
      <c r="D76" s="332" t="s">
        <v>251</v>
      </c>
      <c r="E76" s="312">
        <v>130</v>
      </c>
      <c r="F76" s="312">
        <f t="shared" ref="F76:F87" si="4">C76*E76</f>
        <v>39000</v>
      </c>
    </row>
    <row r="77" spans="1:7" ht="12" customHeight="1">
      <c r="A77" s="331" t="s">
        <v>294</v>
      </c>
      <c r="B77" s="332" t="s">
        <v>221</v>
      </c>
      <c r="C77" s="332">
        <v>160</v>
      </c>
      <c r="D77" s="332" t="s">
        <v>251</v>
      </c>
      <c r="E77" s="312">
        <v>220</v>
      </c>
      <c r="F77" s="312">
        <f t="shared" si="4"/>
        <v>35200</v>
      </c>
    </row>
    <row r="78" spans="1:7" ht="12" customHeight="1">
      <c r="A78" s="331" t="s">
        <v>295</v>
      </c>
      <c r="B78" s="332" t="s">
        <v>293</v>
      </c>
      <c r="C78" s="311">
        <v>10000</v>
      </c>
      <c r="D78" s="332" t="s">
        <v>251</v>
      </c>
      <c r="E78" s="312">
        <v>48</v>
      </c>
      <c r="F78" s="312">
        <f t="shared" si="4"/>
        <v>480000</v>
      </c>
    </row>
    <row r="79" spans="1:7" ht="12" customHeight="1">
      <c r="A79" s="331" t="s">
        <v>296</v>
      </c>
      <c r="B79" s="332" t="s">
        <v>221</v>
      </c>
      <c r="C79" s="332">
        <v>160</v>
      </c>
      <c r="D79" s="332" t="s">
        <v>251</v>
      </c>
      <c r="E79" s="312">
        <v>3200</v>
      </c>
      <c r="F79" s="312">
        <f t="shared" si="4"/>
        <v>512000</v>
      </c>
    </row>
    <row r="80" spans="1:7" ht="12" customHeight="1">
      <c r="A80" s="331" t="s">
        <v>297</v>
      </c>
      <c r="B80" s="332" t="s">
        <v>221</v>
      </c>
      <c r="C80" s="332">
        <v>1</v>
      </c>
      <c r="D80" s="332" t="s">
        <v>251</v>
      </c>
      <c r="E80" s="312">
        <v>389130</v>
      </c>
      <c r="F80" s="312">
        <f t="shared" si="4"/>
        <v>389130</v>
      </c>
    </row>
    <row r="81" spans="1:6" ht="12" customHeight="1">
      <c r="A81" s="331" t="s">
        <v>298</v>
      </c>
      <c r="B81" s="332" t="s">
        <v>221</v>
      </c>
      <c r="C81" s="332">
        <v>1</v>
      </c>
      <c r="D81" s="332" t="s">
        <v>251</v>
      </c>
      <c r="E81" s="312">
        <v>214367</v>
      </c>
      <c r="F81" s="312">
        <f t="shared" si="4"/>
        <v>214367</v>
      </c>
    </row>
    <row r="82" spans="1:6" ht="12" customHeight="1">
      <c r="A82" s="331" t="s">
        <v>299</v>
      </c>
      <c r="B82" s="332" t="s">
        <v>221</v>
      </c>
      <c r="C82" s="332">
        <v>1</v>
      </c>
      <c r="D82" s="332" t="s">
        <v>251</v>
      </c>
      <c r="E82" s="312">
        <v>124998</v>
      </c>
      <c r="F82" s="312">
        <f t="shared" si="4"/>
        <v>124998</v>
      </c>
    </row>
    <row r="83" spans="1:6" ht="12.75" customHeight="1">
      <c r="A83" s="331" t="s">
        <v>300</v>
      </c>
      <c r="B83" s="332" t="s">
        <v>221</v>
      </c>
      <c r="C83" s="332">
        <v>1</v>
      </c>
      <c r="D83" s="332" t="s">
        <v>251</v>
      </c>
      <c r="E83" s="312">
        <v>668956</v>
      </c>
      <c r="F83" s="312">
        <f t="shared" si="4"/>
        <v>668956</v>
      </c>
    </row>
    <row r="84" spans="1:6" ht="12" customHeight="1">
      <c r="A84" s="331" t="s">
        <v>301</v>
      </c>
      <c r="B84" s="332" t="s">
        <v>221</v>
      </c>
      <c r="C84" s="332">
        <v>1</v>
      </c>
      <c r="D84" s="332" t="s">
        <v>302</v>
      </c>
      <c r="E84" s="312">
        <v>30000</v>
      </c>
      <c r="F84" s="312">
        <f t="shared" si="4"/>
        <v>30000</v>
      </c>
    </row>
    <row r="85" spans="1:6" ht="12.75" customHeight="1">
      <c r="A85" s="331" t="s">
        <v>303</v>
      </c>
      <c r="B85" s="332" t="s">
        <v>293</v>
      </c>
      <c r="C85" s="311">
        <v>8000</v>
      </c>
      <c r="D85" s="332" t="s">
        <v>304</v>
      </c>
      <c r="E85" s="331">
        <v>120</v>
      </c>
      <c r="F85" s="312">
        <f t="shared" si="4"/>
        <v>960000</v>
      </c>
    </row>
    <row r="86" spans="1:6" ht="12" customHeight="1">
      <c r="A86" s="331" t="s">
        <v>305</v>
      </c>
      <c r="B86" s="332" t="s">
        <v>306</v>
      </c>
      <c r="C86" s="311">
        <v>6000</v>
      </c>
      <c r="D86" s="311" t="s">
        <v>243</v>
      </c>
      <c r="E86" s="312">
        <v>111</v>
      </c>
      <c r="F86" s="312">
        <f t="shared" si="4"/>
        <v>666000</v>
      </c>
    </row>
    <row r="87" spans="1:6" ht="12" customHeight="1">
      <c r="A87" s="331" t="s">
        <v>307</v>
      </c>
      <c r="B87" s="332" t="s">
        <v>221</v>
      </c>
      <c r="C87" s="332">
        <v>400</v>
      </c>
      <c r="D87" s="332" t="s">
        <v>245</v>
      </c>
      <c r="E87" s="312">
        <v>1350</v>
      </c>
      <c r="F87" s="312">
        <f t="shared" si="4"/>
        <v>540000</v>
      </c>
    </row>
    <row r="88" spans="1:6" ht="20.25" customHeight="1">
      <c r="A88" s="583" t="s">
        <v>39</v>
      </c>
      <c r="B88" s="584"/>
      <c r="C88" s="584"/>
      <c r="D88" s="584"/>
      <c r="E88" s="585"/>
      <c r="F88" s="333">
        <f>SUM(F75:F87)</f>
        <v>4659651</v>
      </c>
    </row>
    <row r="89" spans="1:6" ht="15.6" customHeight="1" thickBot="1">
      <c r="A89" s="287"/>
      <c r="B89" s="261"/>
      <c r="C89" s="261"/>
      <c r="D89" s="261"/>
      <c r="E89" s="95"/>
      <c r="F89" s="287"/>
    </row>
    <row r="90" spans="1:6" ht="11.25" customHeight="1">
      <c r="A90" s="350" t="s">
        <v>40</v>
      </c>
      <c r="B90" s="351"/>
      <c r="C90" s="351"/>
      <c r="D90" s="351"/>
      <c r="E90" s="352"/>
      <c r="F90" s="353">
        <f>F28+F36+F45+F61</f>
        <v>19012351</v>
      </c>
    </row>
    <row r="91" spans="1:6" ht="11.25" customHeight="1">
      <c r="A91" s="354" t="s">
        <v>41</v>
      </c>
      <c r="B91" s="355"/>
      <c r="C91" s="355"/>
      <c r="D91" s="355"/>
      <c r="E91" s="356"/>
      <c r="F91" s="357">
        <f>F90*5%</f>
        <v>950617.55</v>
      </c>
    </row>
    <row r="92" spans="1:6" ht="11.25" customHeight="1">
      <c r="A92" s="354" t="s">
        <v>42</v>
      </c>
      <c r="B92" s="355"/>
      <c r="C92" s="355"/>
      <c r="D92" s="355"/>
      <c r="E92" s="356"/>
      <c r="F92" s="357">
        <f>SUM(F90:F91)</f>
        <v>19962968.550000001</v>
      </c>
    </row>
    <row r="93" spans="1:6" ht="11.25" customHeight="1" thickBot="1">
      <c r="A93" s="358" t="s">
        <v>43</v>
      </c>
      <c r="B93" s="359"/>
      <c r="C93" s="359"/>
      <c r="D93" s="359"/>
      <c r="E93" s="360"/>
      <c r="F93" s="361">
        <f>F11</f>
        <v>32000000</v>
      </c>
    </row>
    <row r="94" spans="1:6" ht="15.75" customHeight="1" thickBot="1">
      <c r="A94" s="362" t="s">
        <v>44</v>
      </c>
      <c r="B94" s="363"/>
      <c r="C94" s="363"/>
      <c r="D94" s="363"/>
      <c r="E94" s="364"/>
      <c r="F94" s="365">
        <f>+F93-F92</f>
        <v>12037031.449999999</v>
      </c>
    </row>
    <row r="95" spans="1:6" ht="11.25" customHeight="1">
      <c r="A95" s="197" t="s">
        <v>104</v>
      </c>
      <c r="B95" s="197"/>
      <c r="C95" s="197"/>
      <c r="D95" s="197"/>
      <c r="E95" s="197"/>
      <c r="F95" s="197"/>
    </row>
    <row r="96" spans="1:6" ht="11.25" customHeight="1" thickBot="1"/>
    <row r="97" spans="1:6" ht="11.25" customHeight="1">
      <c r="A97" s="48" t="s">
        <v>45</v>
      </c>
      <c r="B97" s="49"/>
      <c r="C97" s="49"/>
      <c r="D97" s="49"/>
      <c r="E97" s="50"/>
      <c r="F97" s="32"/>
    </row>
    <row r="98" spans="1:6" ht="11.25" customHeight="1">
      <c r="A98" s="51" t="s">
        <v>46</v>
      </c>
      <c r="B98" s="34"/>
      <c r="C98" s="34"/>
      <c r="D98" s="34"/>
      <c r="E98" s="52"/>
      <c r="F98" s="32"/>
    </row>
    <row r="99" spans="1:6" ht="11.25" customHeight="1">
      <c r="A99" s="51" t="s">
        <v>47</v>
      </c>
      <c r="B99" s="34"/>
      <c r="C99" s="34"/>
      <c r="D99" s="34"/>
      <c r="E99" s="52"/>
      <c r="F99" s="32"/>
    </row>
    <row r="100" spans="1:6" ht="11.25" customHeight="1">
      <c r="A100" s="51" t="s">
        <v>48</v>
      </c>
      <c r="B100" s="34"/>
      <c r="C100" s="34"/>
      <c r="D100" s="34"/>
      <c r="E100" s="52"/>
      <c r="F100" s="32"/>
    </row>
    <row r="101" spans="1:6" ht="11.25" customHeight="1">
      <c r="A101" s="51" t="s">
        <v>49</v>
      </c>
      <c r="B101" s="34"/>
      <c r="C101" s="34"/>
      <c r="D101" s="34"/>
      <c r="E101" s="52"/>
      <c r="F101" s="32"/>
    </row>
    <row r="102" spans="1:6" ht="11.25" customHeight="1">
      <c r="A102" s="51" t="s">
        <v>50</v>
      </c>
      <c r="B102" s="34"/>
      <c r="C102" s="34"/>
      <c r="D102" s="34"/>
      <c r="E102" s="52"/>
      <c r="F102" s="32"/>
    </row>
    <row r="103" spans="1:6" ht="11.25" customHeight="1" thickBot="1">
      <c r="A103" s="53" t="s">
        <v>51</v>
      </c>
      <c r="B103" s="54"/>
      <c r="C103" s="54"/>
      <c r="D103" s="54"/>
      <c r="E103" s="55"/>
      <c r="F103" s="32"/>
    </row>
    <row r="104" spans="1:6" ht="11.25" customHeight="1">
      <c r="A104" s="46"/>
      <c r="B104" s="34"/>
      <c r="C104" s="34"/>
      <c r="D104" s="34"/>
      <c r="E104" s="34"/>
      <c r="F104" s="32"/>
    </row>
    <row r="105" spans="1:6" ht="11.25" customHeight="1" thickBot="1">
      <c r="A105" s="561" t="s">
        <v>52</v>
      </c>
      <c r="B105" s="562"/>
      <c r="C105" s="45"/>
      <c r="D105" s="26"/>
      <c r="E105" s="26"/>
      <c r="F105" s="32"/>
    </row>
    <row r="106" spans="1:6" ht="11.25" customHeight="1">
      <c r="A106" s="38" t="s">
        <v>38</v>
      </c>
      <c r="B106" s="27" t="s">
        <v>53</v>
      </c>
      <c r="C106" s="39" t="s">
        <v>54</v>
      </c>
      <c r="D106" s="26"/>
      <c r="E106" s="26"/>
      <c r="F106" s="32"/>
    </row>
    <row r="107" spans="1:6" ht="11.25" customHeight="1">
      <c r="A107" s="40" t="s">
        <v>55</v>
      </c>
      <c r="B107" s="28">
        <f>F28</f>
        <v>10400000</v>
      </c>
      <c r="C107" s="41">
        <f>(B107/B113)</f>
        <v>9.4859249200516915E-2</v>
      </c>
      <c r="D107" s="26"/>
      <c r="E107" s="26"/>
      <c r="F107" s="32"/>
    </row>
    <row r="108" spans="1:6" ht="11.25" customHeight="1">
      <c r="A108" s="40" t="s">
        <v>56</v>
      </c>
      <c r="B108" s="28">
        <f>F33</f>
        <v>90000</v>
      </c>
      <c r="C108" s="41">
        <f>B108/B113</f>
        <v>8.2089734885062711E-4</v>
      </c>
      <c r="D108" s="26"/>
      <c r="E108" s="26"/>
      <c r="F108" s="32"/>
    </row>
    <row r="109" spans="1:6" ht="11.25" customHeight="1">
      <c r="A109" s="40" t="s">
        <v>57</v>
      </c>
      <c r="B109" s="28">
        <f>F43</f>
        <v>157500</v>
      </c>
      <c r="C109" s="41">
        <f>(B109/B113)</f>
        <v>1.4365703604885974E-3</v>
      </c>
      <c r="D109" s="26"/>
      <c r="E109" s="26"/>
      <c r="F109" s="32"/>
    </row>
    <row r="110" spans="1:6" ht="11.25" customHeight="1">
      <c r="A110" s="40" t="s">
        <v>31</v>
      </c>
      <c r="B110" s="28">
        <f>F71</f>
        <v>93378351.149999991</v>
      </c>
      <c r="C110" s="41">
        <f>(B110/B113)</f>
        <v>0.85171156554531002</v>
      </c>
      <c r="D110" s="26"/>
      <c r="E110" s="26"/>
      <c r="F110" s="32"/>
    </row>
    <row r="111" spans="1:6" ht="11.25" customHeight="1">
      <c r="A111" s="40" t="s">
        <v>58</v>
      </c>
      <c r="B111" s="29">
        <f>F88</f>
        <v>4659651</v>
      </c>
      <c r="C111" s="41">
        <f>(B111/B113)</f>
        <v>4.2501057249657484E-2</v>
      </c>
      <c r="D111" s="31"/>
      <c r="E111" s="31"/>
      <c r="F111" s="32"/>
    </row>
    <row r="112" spans="1:6" ht="11.25" customHeight="1">
      <c r="A112" s="40" t="s">
        <v>59</v>
      </c>
      <c r="B112" s="29">
        <f>F91</f>
        <v>950617.55</v>
      </c>
      <c r="C112" s="41">
        <f>(B112/B113)</f>
        <v>8.6706602951764269E-3</v>
      </c>
      <c r="D112" s="31"/>
      <c r="E112" s="31"/>
      <c r="F112" s="32"/>
    </row>
    <row r="113" spans="1:6" ht="11.25" customHeight="1" thickBot="1">
      <c r="A113" s="42" t="s">
        <v>60</v>
      </c>
      <c r="B113" s="43">
        <f>SUM(B107:B112)</f>
        <v>109636119.69999999</v>
      </c>
      <c r="C113" s="44">
        <f>SUM(C107:C112)</f>
        <v>1</v>
      </c>
      <c r="D113" s="31"/>
      <c r="E113" s="31"/>
      <c r="F113" s="32"/>
    </row>
    <row r="114" spans="1:6" ht="11.25" customHeight="1">
      <c r="A114" s="36"/>
      <c r="B114" s="35"/>
      <c r="C114" s="35"/>
      <c r="D114" s="35"/>
      <c r="E114" s="35"/>
      <c r="F114" s="32"/>
    </row>
    <row r="115" spans="1:6" ht="11.25" customHeight="1">
      <c r="A115" s="37"/>
      <c r="B115" s="35"/>
      <c r="C115" s="35"/>
      <c r="D115" s="35"/>
      <c r="E115" s="35"/>
      <c r="F115" s="32"/>
    </row>
    <row r="116" spans="1:6" ht="11.25" customHeight="1" thickBot="1">
      <c r="A116" s="57"/>
      <c r="B116" s="58" t="s">
        <v>61</v>
      </c>
      <c r="C116" s="59"/>
      <c r="D116" s="60"/>
      <c r="E116" s="30"/>
      <c r="F116" s="32"/>
    </row>
    <row r="117" spans="1:6" ht="11.25" customHeight="1">
      <c r="A117" s="61" t="s">
        <v>308</v>
      </c>
      <c r="B117" s="99">
        <v>25000</v>
      </c>
      <c r="C117" s="99">
        <v>30000</v>
      </c>
      <c r="D117" s="326">
        <v>35000</v>
      </c>
      <c r="E117" s="56"/>
      <c r="F117" s="33"/>
    </row>
    <row r="118" spans="1:6" ht="11.25" customHeight="1" thickBot="1">
      <c r="A118" s="103" t="s">
        <v>312</v>
      </c>
      <c r="B118" s="101">
        <f>$F$92/B117</f>
        <v>798.51874199999997</v>
      </c>
      <c r="C118" s="101">
        <f t="shared" ref="C118:D118" si="5">$F$92/C117</f>
        <v>665.43228499999998</v>
      </c>
      <c r="D118" s="341">
        <f t="shared" si="5"/>
        <v>570.37053000000003</v>
      </c>
      <c r="E118" s="56"/>
      <c r="F118" s="33"/>
    </row>
  </sheetData>
  <mergeCells count="10">
    <mergeCell ref="A105:B105"/>
    <mergeCell ref="A16:F16"/>
    <mergeCell ref="A71:E71"/>
    <mergeCell ref="A88:E88"/>
    <mergeCell ref="D8:E8"/>
    <mergeCell ref="D9:E9"/>
    <mergeCell ref="D10:E10"/>
    <mergeCell ref="D12:E12"/>
    <mergeCell ref="D13:E13"/>
    <mergeCell ref="D14:E1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PAPA GUARDA SECANO PATAGONIA</vt:lpstr>
      <vt:lpstr>PAPA GUARDA VEGA PATAGONIA</vt:lpstr>
      <vt:lpstr>PAPA TEMPRANA</vt:lpstr>
      <vt:lpstr>SEMILLERO DE PAPA</vt:lpstr>
      <vt:lpstr>TRIGO ALTERNATIVO</vt:lpstr>
      <vt:lpstr>PRADERA TREBOL-BALLICA</vt:lpstr>
      <vt:lpstr>AVENA DE GRANO</vt:lpstr>
      <vt:lpstr> FRUTILLA ALBION</vt:lpstr>
      <vt:lpstr>FRUTILLA CAMAROSA</vt:lpstr>
      <vt:lpstr>ARVEJAS VERDE</vt:lpstr>
      <vt:lpstr>FRAMBUESA HERITAGE</vt:lpstr>
      <vt:lpstr>'PAPA GUARDA SECANO PATAGONIA'!Área_de_impresión</vt:lpstr>
      <vt:lpstr>'TRIGO ALTERNATIVO'!Área_de_impresión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Campos Olivares</dc:creator>
  <cp:lastModifiedBy>Usuario</cp:lastModifiedBy>
  <cp:lastPrinted>2021-01-05T20:59:12Z</cp:lastPrinted>
  <dcterms:created xsi:type="dcterms:W3CDTF">2020-11-27T12:49:26Z</dcterms:created>
  <dcterms:modified xsi:type="dcterms:W3CDTF">2021-02-04T14:40:08Z</dcterms:modified>
</cp:coreProperties>
</file>