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Calera/"/>
    </mc:Choice>
  </mc:AlternateContent>
  <xr:revisionPtr revIDLastSave="4" documentId="11_B66A5085FCCAEBB66892DA10B9712AFDFA4047F6" xr6:coauthVersionLast="47" xr6:coauthVersionMax="47" xr10:uidLastSave="{1508639D-D721-4373-B46D-46C8E5CC7518}"/>
  <bookViews>
    <workbookView xWindow="-120" yWindow="-120" windowWidth="20730" windowHeight="11040" activeTab="1" xr2:uid="{00000000-000D-0000-FFFF-FFFF00000000}"/>
  </bookViews>
  <sheets>
    <sheet name="gerberas" sheetId="1" r:id="rId1"/>
    <sheet name="A jun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5" i="2" l="1"/>
  <c r="G12" i="1"/>
  <c r="G12" i="2"/>
  <c r="G90" i="2" l="1"/>
  <c r="G84" i="2"/>
  <c r="F83" i="2"/>
  <c r="G83" i="2" s="1"/>
  <c r="F82" i="2"/>
  <c r="G82" i="2" s="1"/>
  <c r="D81" i="2"/>
  <c r="G81" i="2" s="1"/>
  <c r="G80" i="2"/>
  <c r="G79" i="2"/>
  <c r="G78" i="2"/>
  <c r="G73" i="2"/>
  <c r="G72" i="2"/>
  <c r="G71" i="2"/>
  <c r="G70" i="2"/>
  <c r="G69" i="2"/>
  <c r="G68" i="2"/>
  <c r="G67" i="2"/>
  <c r="G66" i="2"/>
  <c r="G65" i="2"/>
  <c r="G64" i="2"/>
  <c r="G63" i="2"/>
  <c r="G60" i="2"/>
  <c r="G58" i="2"/>
  <c r="G57" i="2"/>
  <c r="G56" i="2"/>
  <c r="G55" i="2"/>
  <c r="G54" i="2"/>
  <c r="G53" i="2"/>
  <c r="G52" i="2"/>
  <c r="G51" i="2"/>
  <c r="G50" i="2"/>
  <c r="G49" i="2"/>
  <c r="G48" i="2"/>
  <c r="G46" i="2"/>
  <c r="G40" i="2"/>
  <c r="G39" i="2"/>
  <c r="G28" i="2"/>
  <c r="G27" i="2"/>
  <c r="D26" i="2"/>
  <c r="G26" i="2" s="1"/>
  <c r="G25" i="2"/>
  <c r="D24" i="2"/>
  <c r="G24" i="2" s="1"/>
  <c r="D23" i="2"/>
  <c r="G23" i="2" s="1"/>
  <c r="G22" i="2"/>
  <c r="G21" i="2"/>
  <c r="G41" i="2" l="1"/>
  <c r="C106" i="2" s="1"/>
  <c r="G74" i="2"/>
  <c r="C107" i="2" s="1"/>
  <c r="G30" i="2"/>
  <c r="G85" i="2"/>
  <c r="C108" i="2" s="1"/>
  <c r="C104" i="2" l="1"/>
  <c r="G87" i="2"/>
  <c r="G88" i="2" s="1"/>
  <c r="G78" i="1"/>
  <c r="F82" i="1"/>
  <c r="F63" i="1"/>
  <c r="F64" i="1"/>
  <c r="D113" i="1"/>
  <c r="F81" i="1"/>
  <c r="G81" i="1" s="1"/>
  <c r="D80" i="1"/>
  <c r="G80" i="1" s="1"/>
  <c r="G79" i="1"/>
  <c r="G77" i="1"/>
  <c r="C109" i="2" l="1"/>
  <c r="G89" i="2"/>
  <c r="G72" i="1"/>
  <c r="G57" i="1"/>
  <c r="G56" i="1"/>
  <c r="G53" i="1"/>
  <c r="F54" i="1"/>
  <c r="F52" i="1"/>
  <c r="C115" i="2" l="1"/>
  <c r="E115" i="2"/>
  <c r="G91" i="2"/>
  <c r="C110" i="2"/>
  <c r="E113" i="1"/>
  <c r="C113" i="1"/>
  <c r="G83" i="1"/>
  <c r="G71" i="1"/>
  <c r="G70" i="1"/>
  <c r="G69" i="1"/>
  <c r="G68" i="1"/>
  <c r="G67" i="1"/>
  <c r="G66" i="1"/>
  <c r="G65" i="1"/>
  <c r="G64" i="1"/>
  <c r="G63" i="1"/>
  <c r="G62" i="1"/>
  <c r="G55" i="1"/>
  <c r="G54" i="1"/>
  <c r="G52" i="1"/>
  <c r="G51" i="1"/>
  <c r="G50" i="1"/>
  <c r="G49" i="1"/>
  <c r="D26" i="1"/>
  <c r="G26" i="1" s="1"/>
  <c r="D23" i="1"/>
  <c r="G23" i="1" s="1"/>
  <c r="G38" i="1"/>
  <c r="G28" i="1"/>
  <c r="G27" i="1"/>
  <c r="G25" i="1"/>
  <c r="D24" i="1"/>
  <c r="G24" i="1" s="1"/>
  <c r="G22" i="1"/>
  <c r="G21" i="1"/>
  <c r="G29" i="1" l="1"/>
  <c r="D106" i="2"/>
  <c r="D107" i="2"/>
  <c r="D108" i="2"/>
  <c r="D104" i="2"/>
  <c r="D109" i="2"/>
  <c r="G82" i="1"/>
  <c r="G84" i="1" s="1"/>
  <c r="G59" i="1"/>
  <c r="G48" i="1"/>
  <c r="G47" i="1"/>
  <c r="G45" i="1"/>
  <c r="G73" i="1" s="1"/>
  <c r="G39" i="1"/>
  <c r="G40" i="1" s="1"/>
  <c r="G89" i="1"/>
  <c r="D110" i="2" l="1"/>
  <c r="C106" i="1"/>
  <c r="C107" i="1"/>
  <c r="C105" i="1"/>
  <c r="C103" i="1" l="1"/>
  <c r="G86" i="1"/>
  <c r="G87" i="1" s="1"/>
  <c r="G88" i="1" l="1"/>
  <c r="D114" i="1" s="1"/>
  <c r="C108" i="1"/>
  <c r="E114" i="1" l="1"/>
  <c r="C114" i="1"/>
  <c r="G90" i="1"/>
  <c r="C109" i="1"/>
  <c r="D108" i="1" s="1"/>
  <c r="D106" i="1" l="1"/>
  <c r="D103" i="1"/>
  <c r="D105" i="1"/>
  <c r="D107" i="1"/>
  <c r="D109" i="1" l="1"/>
</calcChain>
</file>

<file path=xl/sharedStrings.xml><?xml version="1.0" encoding="utf-8"?>
<sst xmlns="http://schemas.openxmlformats.org/spreadsheetml/2006/main" count="434" uniqueCount="151">
  <si>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</si>
  <si>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</si>
  <si>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</si>
  <si>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</si>
  <si>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</si>
  <si>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</si>
  <si>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</si>
  <si>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</si>
  <si>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</si>
  <si>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</si>
  <si>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</si>
  <si>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</si>
  <si>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</si>
  <si>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</si>
  <si>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</si>
  <si>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</si>
  <si>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</si>
  <si>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</si>
  <si>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</si>
  <si>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</si>
  <si>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</si>
  <si>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</si>
  <si>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</si>
  <si>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</si>
  <si>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</si>
  <si>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</si>
  <si>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</si>
  <si>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</si>
  <si>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</si>
  <si>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</si>
  <si>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</si>
  <si>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</si>
  <si>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</si>
  <si>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</si>
  <si>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</si>
  <si>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</si>
  <si>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</si>
  <si>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</si>
  <si>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</si>
  <si>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</si>
  <si>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</si>
  <si>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</si>
  <si>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</si>
  <si>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</si>
  <si>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</si>
  <si>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</si>
  <si>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</si>
  <si>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</si>
  <si>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</si>
  <si>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</si>
  <si>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</si>
  <si>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</si>
  <si>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</si>
  <si>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</si>
  <si>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</si>
  <si>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</si>
  <si>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</si>
  <si>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</si>
  <si>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</si>
  <si>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</si>
  <si>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</si>
  <si>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GERBERAS</t>
  </si>
  <si>
    <t>TIPO ESTÁNDAR</t>
  </si>
  <si>
    <t>VALPARAISO</t>
  </si>
  <si>
    <t>PROMEDIO AÑO</t>
  </si>
  <si>
    <t>PRECIO ESPERADO (VARA)</t>
  </si>
  <si>
    <t>M. NACIONAL</t>
  </si>
  <si>
    <t>TODO EL AÑO</t>
  </si>
  <si>
    <t>Preparación suelo</t>
  </si>
  <si>
    <t>Desinfeccion</t>
  </si>
  <si>
    <t>Deshoje</t>
  </si>
  <si>
    <t>J.M.</t>
  </si>
  <si>
    <t>OCT-NOV</t>
  </si>
  <si>
    <t>COSTOS DIRECTOS DE PRODUCCIÓN POR 4 INVERNADERO (INCLUYE IVA)</t>
  </si>
  <si>
    <t>J.H.</t>
  </si>
  <si>
    <t>Plantacion</t>
  </si>
  <si>
    <t>NOV - DIC</t>
  </si>
  <si>
    <t>Riego</t>
  </si>
  <si>
    <t>Cosecha y embalaje</t>
  </si>
  <si>
    <t>Labores de mantencion</t>
  </si>
  <si>
    <t>Desinfeccion suelo - Metan Sodio</t>
  </si>
  <si>
    <t>Litros</t>
  </si>
  <si>
    <t>noviembre</t>
  </si>
  <si>
    <t>Cambio polietileno</t>
  </si>
  <si>
    <t>MARZO</t>
  </si>
  <si>
    <t xml:space="preserve">Encamado e instalacion </t>
  </si>
  <si>
    <t>Valor por año (2 años duración)</t>
  </si>
  <si>
    <t>Planta</t>
  </si>
  <si>
    <t>Noviembre</t>
  </si>
  <si>
    <t>Todo el año</t>
  </si>
  <si>
    <t>Nitrato de calcio</t>
  </si>
  <si>
    <t>Extracto Algas</t>
  </si>
  <si>
    <t>Gramoxone</t>
  </si>
  <si>
    <t>Vertimec</t>
  </si>
  <si>
    <t>Applaud</t>
  </si>
  <si>
    <t>Engeo</t>
  </si>
  <si>
    <t>Gladiador</t>
  </si>
  <si>
    <t>Chess</t>
  </si>
  <si>
    <t>INSECTICIDAS - FUNGICIDAS</t>
  </si>
  <si>
    <t xml:space="preserve">Neres </t>
  </si>
  <si>
    <t>Trigard</t>
  </si>
  <si>
    <t>Break</t>
  </si>
  <si>
    <t>Topas</t>
  </si>
  <si>
    <t>Tebuconazole</t>
  </si>
  <si>
    <t>Complejo Biologico EM1</t>
  </si>
  <si>
    <t>Mallas protectoras</t>
  </si>
  <si>
    <t>20 l</t>
  </si>
  <si>
    <t>1 l</t>
  </si>
  <si>
    <t>1 kg</t>
  </si>
  <si>
    <t>sobre 50 gr</t>
  </si>
  <si>
    <t>sobre 100 gr</t>
  </si>
  <si>
    <t>sobre 30 gr</t>
  </si>
  <si>
    <t xml:space="preserve">fardo </t>
  </si>
  <si>
    <t>todo el año</t>
  </si>
  <si>
    <t>Costo unitario ($/vara)</t>
  </si>
  <si>
    <t>PLANTAS</t>
  </si>
  <si>
    <t>Nitrato Potasio</t>
  </si>
  <si>
    <t xml:space="preserve">Nitrato de amonio </t>
  </si>
  <si>
    <t>Nitrato de magnesio</t>
  </si>
  <si>
    <t>Fosfato Monopotasico</t>
  </si>
  <si>
    <t xml:space="preserve">Fierro Quelatado 6% </t>
  </si>
  <si>
    <t>2,5 kg</t>
  </si>
  <si>
    <t>Microelementos /fetrilon combi</t>
  </si>
  <si>
    <t>2 kg</t>
  </si>
  <si>
    <t>Acido Fósforico</t>
  </si>
  <si>
    <t>20 kg</t>
  </si>
  <si>
    <t>Bioestimulante foliar</t>
  </si>
  <si>
    <t>250 cc</t>
  </si>
  <si>
    <t>Previcur</t>
  </si>
  <si>
    <t>Protectores aplicacdores</t>
  </si>
  <si>
    <t>set</t>
  </si>
  <si>
    <t>Polietileno reparacion 50 %  del total</t>
  </si>
  <si>
    <t>rollo 100 m</t>
  </si>
  <si>
    <t>marzo-abril</t>
  </si>
  <si>
    <t>Maderas reposicion</t>
  </si>
  <si>
    <t>paq 50 un</t>
  </si>
  <si>
    <t>Repocision cintas de riego</t>
  </si>
  <si>
    <t>m</t>
  </si>
  <si>
    <t>Electricidad riego</t>
  </si>
  <si>
    <t>mes</t>
  </si>
  <si>
    <t>$/ 4 invernaderos</t>
  </si>
  <si>
    <t>ESCENARIOS COSTO UNITARIO  ($/vara)</t>
  </si>
  <si>
    <t>Rendimiento (varas/año x 4 inv)</t>
  </si>
  <si>
    <t>LA CALERA</t>
  </si>
  <si>
    <t>Sequía</t>
  </si>
  <si>
    <t xml:space="preserve">LA CALERA </t>
  </si>
  <si>
    <t>LA CALERA, HIJUELAS</t>
  </si>
  <si>
    <t>Alza precios de insumos</t>
  </si>
  <si>
    <t>Protectores aplicadores</t>
  </si>
  <si>
    <r>
      <rPr>
        <u/>
        <sz val="8"/>
        <color rgb="FF000000"/>
        <rFont val="Calibri"/>
        <family val="2"/>
      </rPr>
      <t>Fuente</t>
    </r>
    <r>
      <rPr>
        <sz val="8"/>
        <color rgb="FF000000"/>
        <rFont val="Calibri"/>
        <family val="2"/>
      </rPr>
      <t>: INDAP</t>
    </r>
  </si>
  <si>
    <r>
      <rPr>
        <b/>
        <u/>
        <sz val="7"/>
        <color rgb="FF000000"/>
        <rFont val="Calibri"/>
        <family val="2"/>
      </rPr>
      <t>Notas</t>
    </r>
    <r>
      <rPr>
        <b/>
        <sz val="7"/>
        <color rgb="FF000000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</si>
</sst>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4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8"/>
      <color rgb="FF000000"/>
      <name val="Arial Narrow"/>
      <family val="2"/>
    </font>
    <font>
      <sz val="9"/>
      <color rgb="FF000000"/>
      <name val="Arial Narrow"/>
      <family val="2"/>
    </font>
    <font>
      <b/>
      <i/>
      <sz val="9"/>
      <color rgb="FFFFFFFF"/>
      <name val="Calibri"/>
      <family val="2"/>
    </font>
    <font>
      <sz val="8"/>
      <color rgb="FFFFFFFF"/>
      <name val="Arial Narrow"/>
      <family val="2"/>
    </font>
    <font>
      <b/>
      <sz val="8"/>
      <color rgb="FF000000"/>
      <name val="Arial Narrow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u/>
      <sz val="8"/>
      <color rgb="FF000000"/>
      <name val="Calibri"/>
      <family val="2"/>
    </font>
    <font>
      <sz val="8"/>
      <color rgb="FF000000"/>
      <name val="Calibri"/>
      <family val="2"/>
    </font>
    <font>
      <b/>
      <sz val="7"/>
      <color rgb="FF000000"/>
      <name val="Calibri"/>
      <family val="2"/>
    </font>
    <font>
      <b/>
      <u/>
      <sz val="7"/>
      <color rgb="FF000000"/>
      <name val="Calibri"/>
      <family val="2"/>
    </font>
    <font>
      <sz val="7"/>
      <color rgb="FF000000"/>
      <name val="Calibri"/>
      <family val="2"/>
    </font>
    <font>
      <b/>
      <sz val="7"/>
      <color rgb="FFFEFEFE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auto="1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rgb="FFFF891C"/>
        <bgColor auto="1"/>
      </patternFill>
    </fill>
    <fill>
      <patternFill patternType="solid">
        <fgColor rgb="FF388194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10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7F7F7F"/>
      </right>
      <top style="thin">
        <color rgb="FFAAAAAA"/>
      </top>
      <bottom style="thin">
        <color rgb="FFAAAAAA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7F7F7F"/>
      </top>
      <bottom/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</borders>
  <cellStyleXfs count="3">
    <xf numFmtId="0" fontId="0" fillId="0" borderId="0" applyNumberFormat="0" applyFill="0" applyBorder="0" applyProtection="0"/>
    <xf numFmtId="42" fontId="19" fillId="0" borderId="0" applyFont="0" applyFill="0" applyBorder="0" applyAlignment="0" applyProtection="0"/>
    <xf numFmtId="41" fontId="20" fillId="0" borderId="0" applyFont="0" applyFill="0" applyBorder="0" applyAlignment="0" applyProtection="0"/>
  </cellStyleXfs>
  <cellXfs count="32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 applyAlignment="1"/>
    <xf numFmtId="3" fontId="4" fillId="2" borderId="57" xfId="0" applyNumberFormat="1" applyFont="1" applyFill="1" applyBorder="1" applyAlignment="1"/>
    <xf numFmtId="49" fontId="4" fillId="2" borderId="57" xfId="0" applyNumberFormat="1" applyFont="1" applyFill="1" applyBorder="1" applyAlignment="1"/>
    <xf numFmtId="42" fontId="0" fillId="0" borderId="0" xfId="1" applyFont="1" applyAlignment="1"/>
    <xf numFmtId="3" fontId="4" fillId="10" borderId="6" xfId="0" applyNumberFormat="1" applyFont="1" applyFill="1" applyBorder="1" applyAlignment="1"/>
    <xf numFmtId="3" fontId="4" fillId="10" borderId="57" xfId="0" applyNumberFormat="1" applyFont="1" applyFill="1" applyBorder="1" applyAlignment="1"/>
    <xf numFmtId="3" fontId="4" fillId="10" borderId="19" xfId="0" applyNumberFormat="1" applyFont="1" applyFill="1" applyBorder="1" applyAlignment="1"/>
    <xf numFmtId="165" fontId="4" fillId="10" borderId="6" xfId="0" applyNumberFormat="1" applyFont="1" applyFill="1" applyBorder="1" applyAlignment="1"/>
    <xf numFmtId="41" fontId="13" fillId="8" borderId="55" xfId="2" applyFont="1" applyFill="1" applyBorder="1" applyAlignment="1">
      <alignment vertical="center"/>
    </xf>
    <xf numFmtId="41" fontId="13" fillId="8" borderId="56" xfId="2" applyFont="1" applyFill="1" applyBorder="1" applyAlignment="1">
      <alignment vertical="center"/>
    </xf>
    <xf numFmtId="3" fontId="21" fillId="0" borderId="6" xfId="0" applyNumberFormat="1" applyFont="1" applyFill="1" applyBorder="1" applyAlignment="1"/>
    <xf numFmtId="0" fontId="0" fillId="11" borderId="61" xfId="0" applyFont="1" applyFill="1" applyBorder="1" applyAlignment="1"/>
    <xf numFmtId="0" fontId="0" fillId="0" borderId="23" xfId="0" applyNumberFormat="1" applyFont="1" applyFill="1" applyBorder="1" applyAlignment="1"/>
    <xf numFmtId="0" fontId="0" fillId="0" borderId="23" xfId="0" applyFont="1" applyFill="1" applyBorder="1" applyAlignment="1"/>
    <xf numFmtId="0" fontId="0" fillId="11" borderId="62" xfId="0" applyFont="1" applyFill="1" applyBorder="1" applyAlignment="1"/>
    <xf numFmtId="0" fontId="0" fillId="11" borderId="63" xfId="0" applyFont="1" applyFill="1" applyBorder="1" applyAlignment="1"/>
    <xf numFmtId="0" fontId="0" fillId="11" borderId="64" xfId="0" applyFont="1" applyFill="1" applyBorder="1" applyAlignment="1"/>
    <xf numFmtId="49" fontId="22" fillId="12" borderId="65" xfId="0" applyNumberFormat="1" applyFont="1" applyFill="1" applyBorder="1" applyAlignment="1">
      <alignment vertical="center" wrapText="1"/>
    </xf>
    <xf numFmtId="49" fontId="23" fillId="11" borderId="66" xfId="0" applyNumberFormat="1" applyFont="1" applyFill="1" applyBorder="1" applyAlignment="1">
      <alignment horizontal="right"/>
    </xf>
    <xf numFmtId="0" fontId="23" fillId="11" borderId="67" xfId="0" applyFont="1" applyFill="1" applyBorder="1" applyAlignment="1"/>
    <xf numFmtId="49" fontId="25" fillId="11" borderId="65" xfId="0" applyNumberFormat="1" applyFont="1" applyFill="1" applyBorder="1" applyAlignment="1">
      <alignment vertical="center" wrapText="1"/>
    </xf>
    <xf numFmtId="49" fontId="25" fillId="11" borderId="66" xfId="0" applyNumberFormat="1" applyFont="1" applyFill="1" applyBorder="1" applyAlignment="1">
      <alignment horizontal="center" vertical="center" wrapText="1"/>
    </xf>
    <xf numFmtId="0" fontId="26" fillId="11" borderId="67" xfId="0" applyFont="1" applyFill="1" applyBorder="1" applyAlignment="1"/>
    <xf numFmtId="49" fontId="25" fillId="11" borderId="66" xfId="0" applyNumberFormat="1" applyFont="1" applyFill="1" applyBorder="1" applyAlignment="1">
      <alignment horizontal="right"/>
    </xf>
    <xf numFmtId="164" fontId="25" fillId="11" borderId="66" xfId="0" applyNumberFormat="1" applyFont="1" applyFill="1" applyBorder="1" applyAlignment="1"/>
    <xf numFmtId="49" fontId="25" fillId="11" borderId="66" xfId="0" applyNumberFormat="1" applyFont="1" applyFill="1" applyBorder="1" applyAlignment="1">
      <alignment horizontal="right" wrapText="1"/>
    </xf>
    <xf numFmtId="49" fontId="25" fillId="11" borderId="66" xfId="0" applyNumberFormat="1" applyFont="1" applyFill="1" applyBorder="1" applyAlignment="1"/>
    <xf numFmtId="0" fontId="25" fillId="11" borderId="66" xfId="0" applyFont="1" applyFill="1" applyBorder="1" applyAlignment="1"/>
    <xf numFmtId="3" fontId="25" fillId="11" borderId="66" xfId="0" applyNumberFormat="1" applyFont="1" applyFill="1" applyBorder="1" applyAlignment="1">
      <alignment horizontal="right" wrapText="1"/>
    </xf>
    <xf numFmtId="14" fontId="25" fillId="11" borderId="66" xfId="0" applyNumberFormat="1" applyFont="1" applyFill="1" applyBorder="1" applyAlignment="1">
      <alignment horizontal="right"/>
    </xf>
    <xf numFmtId="0" fontId="23" fillId="11" borderId="68" xfId="0" applyFont="1" applyFill="1" applyBorder="1" applyAlignment="1">
      <alignment wrapText="1"/>
    </xf>
    <xf numFmtId="14" fontId="23" fillId="11" borderId="69" xfId="0" applyNumberFormat="1" applyFont="1" applyFill="1" applyBorder="1" applyAlignment="1"/>
    <xf numFmtId="0" fontId="23" fillId="11" borderId="63" xfId="0" applyFont="1" applyFill="1" applyBorder="1" applyAlignment="1"/>
    <xf numFmtId="0" fontId="23" fillId="11" borderId="69" xfId="0" applyFont="1" applyFill="1" applyBorder="1" applyAlignment="1"/>
    <xf numFmtId="0" fontId="23" fillId="11" borderId="69" xfId="0" applyFont="1" applyFill="1" applyBorder="1" applyAlignment="1">
      <alignment horizontal="justify" wrapText="1"/>
    </xf>
    <xf numFmtId="0" fontId="0" fillId="11" borderId="70" xfId="0" applyFont="1" applyFill="1" applyBorder="1" applyAlignment="1"/>
    <xf numFmtId="0" fontId="23" fillId="11" borderId="71" xfId="0" applyFont="1" applyFill="1" applyBorder="1" applyAlignment="1"/>
    <xf numFmtId="0" fontId="23" fillId="11" borderId="72" xfId="0" applyFont="1" applyFill="1" applyBorder="1" applyAlignment="1">
      <alignment horizontal="left"/>
    </xf>
    <xf numFmtId="0" fontId="23" fillId="11" borderId="72" xfId="0" applyFont="1" applyFill="1" applyBorder="1" applyAlignment="1"/>
    <xf numFmtId="49" fontId="22" fillId="15" borderId="73" xfId="0" applyNumberFormat="1" applyFont="1" applyFill="1" applyBorder="1" applyAlignment="1">
      <alignment vertical="center"/>
    </xf>
    <xf numFmtId="0" fontId="23" fillId="11" borderId="74" xfId="0" applyFont="1" applyFill="1" applyBorder="1" applyAlignment="1">
      <alignment vertical="center"/>
    </xf>
    <xf numFmtId="0" fontId="23" fillId="11" borderId="63" xfId="0" applyFont="1" applyFill="1" applyBorder="1" applyAlignment="1">
      <alignment vertical="center"/>
    </xf>
    <xf numFmtId="49" fontId="22" fillId="12" borderId="66" xfId="0" applyNumberFormat="1" applyFont="1" applyFill="1" applyBorder="1" applyAlignment="1">
      <alignment horizontal="center" vertical="center" wrapText="1"/>
    </xf>
    <xf numFmtId="49" fontId="25" fillId="11" borderId="66" xfId="0" applyNumberFormat="1" applyFont="1" applyFill="1" applyBorder="1" applyAlignment="1">
      <alignment wrapText="1"/>
    </xf>
    <xf numFmtId="49" fontId="25" fillId="11" borderId="66" xfId="0" applyNumberFormat="1" applyFont="1" applyFill="1" applyBorder="1" applyAlignment="1">
      <alignment horizontal="center" wrapText="1"/>
    </xf>
    <xf numFmtId="0" fontId="25" fillId="11" borderId="66" xfId="0" applyNumberFormat="1" applyFont="1" applyFill="1" applyBorder="1" applyAlignment="1">
      <alignment wrapText="1"/>
    </xf>
    <xf numFmtId="49" fontId="28" fillId="12" borderId="66" xfId="0" applyNumberFormat="1" applyFont="1" applyFill="1" applyBorder="1" applyAlignment="1">
      <alignment vertical="center"/>
    </xf>
    <xf numFmtId="0" fontId="28" fillId="12" borderId="66" xfId="0" applyFont="1" applyFill="1" applyBorder="1" applyAlignment="1">
      <alignment horizontal="center" vertical="center"/>
    </xf>
    <xf numFmtId="0" fontId="28" fillId="12" borderId="66" xfId="0" applyFont="1" applyFill="1" applyBorder="1" applyAlignment="1">
      <alignment vertical="center"/>
    </xf>
    <xf numFmtId="3" fontId="28" fillId="12" borderId="66" xfId="0" applyNumberFormat="1" applyFont="1" applyFill="1" applyBorder="1" applyAlignment="1">
      <alignment vertical="center"/>
    </xf>
    <xf numFmtId="3" fontId="23" fillId="11" borderId="72" xfId="0" applyNumberFormat="1" applyFont="1" applyFill="1" applyBorder="1" applyAlignment="1"/>
    <xf numFmtId="49" fontId="22" fillId="15" borderId="60" xfId="0" applyNumberFormat="1" applyFont="1" applyFill="1" applyBorder="1" applyAlignment="1">
      <alignment vertical="center"/>
    </xf>
    <xf numFmtId="0" fontId="23" fillId="11" borderId="75" xfId="0" applyFont="1" applyFill="1" applyBorder="1" applyAlignment="1">
      <alignment horizontal="center" vertical="center"/>
    </xf>
    <xf numFmtId="0" fontId="23" fillId="11" borderId="62" xfId="0" applyFont="1" applyFill="1" applyBorder="1" applyAlignment="1">
      <alignment horizontal="center" vertical="center"/>
    </xf>
    <xf numFmtId="0" fontId="23" fillId="11" borderId="62" xfId="0" applyFont="1" applyFill="1" applyBorder="1" applyAlignment="1">
      <alignment vertical="center"/>
    </xf>
    <xf numFmtId="49" fontId="22" fillId="12" borderId="60" xfId="0" applyNumberFormat="1" applyFont="1" applyFill="1" applyBorder="1" applyAlignment="1">
      <alignment horizontal="center" vertical="center"/>
    </xf>
    <xf numFmtId="49" fontId="22" fillId="12" borderId="60" xfId="0" applyNumberFormat="1" applyFont="1" applyFill="1" applyBorder="1" applyAlignment="1">
      <alignment horizontal="center" vertical="center" wrapText="1"/>
    </xf>
    <xf numFmtId="0" fontId="23" fillId="11" borderId="60" xfId="0" applyFont="1" applyFill="1" applyBorder="1" applyAlignment="1">
      <alignment vertical="center"/>
    </xf>
    <xf numFmtId="0" fontId="23" fillId="11" borderId="60" xfId="0" applyFont="1" applyFill="1" applyBorder="1" applyAlignment="1">
      <alignment horizontal="center" vertical="center"/>
    </xf>
    <xf numFmtId="49" fontId="24" fillId="12" borderId="60" xfId="0" applyNumberFormat="1" applyFont="1" applyFill="1" applyBorder="1" applyAlignment="1">
      <alignment vertical="center"/>
    </xf>
    <xf numFmtId="0" fontId="24" fillId="12" borderId="60" xfId="0" applyFont="1" applyFill="1" applyBorder="1" applyAlignment="1">
      <alignment horizontal="center" vertical="center"/>
    </xf>
    <xf numFmtId="0" fontId="24" fillId="12" borderId="60" xfId="0" applyFont="1" applyFill="1" applyBorder="1" applyAlignment="1">
      <alignment vertical="center"/>
    </xf>
    <xf numFmtId="49" fontId="22" fillId="12" borderId="73" xfId="0" applyNumberFormat="1" applyFont="1" applyFill="1" applyBorder="1" applyAlignment="1">
      <alignment horizontal="center" vertical="center"/>
    </xf>
    <xf numFmtId="49" fontId="22" fillId="12" borderId="73" xfId="0" applyNumberFormat="1" applyFont="1" applyFill="1" applyBorder="1" applyAlignment="1">
      <alignment horizontal="center" vertical="center" wrapText="1"/>
    </xf>
    <xf numFmtId="49" fontId="25" fillId="11" borderId="76" xfId="0" applyNumberFormat="1" applyFont="1" applyFill="1" applyBorder="1" applyAlignment="1">
      <alignment wrapText="1"/>
    </xf>
    <xf numFmtId="49" fontId="25" fillId="11" borderId="76" xfId="0" applyNumberFormat="1" applyFont="1" applyFill="1" applyBorder="1" applyAlignment="1">
      <alignment horizontal="center" wrapText="1"/>
    </xf>
    <xf numFmtId="0" fontId="25" fillId="11" borderId="76" xfId="0" applyNumberFormat="1" applyFont="1" applyFill="1" applyBorder="1" applyAlignment="1">
      <alignment wrapText="1"/>
    </xf>
    <xf numFmtId="49" fontId="25" fillId="11" borderId="76" xfId="0" applyNumberFormat="1" applyFont="1" applyFill="1" applyBorder="1" applyAlignment="1">
      <alignment horizontal="right" wrapText="1"/>
    </xf>
    <xf numFmtId="3" fontId="25" fillId="11" borderId="76" xfId="0" applyNumberFormat="1" applyFont="1" applyFill="1" applyBorder="1" applyAlignment="1">
      <alignment horizontal="right" wrapText="1"/>
    </xf>
    <xf numFmtId="49" fontId="28" fillId="12" borderId="60" xfId="0" applyNumberFormat="1" applyFont="1" applyFill="1" applyBorder="1" applyAlignment="1">
      <alignment vertical="center"/>
    </xf>
    <xf numFmtId="0" fontId="28" fillId="12" borderId="60" xfId="0" applyFont="1" applyFill="1" applyBorder="1" applyAlignment="1">
      <alignment horizontal="center" vertical="center"/>
    </xf>
    <xf numFmtId="0" fontId="28" fillId="12" borderId="60" xfId="0" applyFont="1" applyFill="1" applyBorder="1" applyAlignment="1">
      <alignment vertical="center"/>
    </xf>
    <xf numFmtId="3" fontId="28" fillId="12" borderId="60" xfId="0" applyNumberFormat="1" applyFont="1" applyFill="1" applyBorder="1" applyAlignment="1">
      <alignment vertical="center"/>
    </xf>
    <xf numFmtId="0" fontId="23" fillId="11" borderId="77" xfId="0" applyFont="1" applyFill="1" applyBorder="1" applyAlignment="1"/>
    <xf numFmtId="0" fontId="23" fillId="11" borderId="78" xfId="0" applyFont="1" applyFill="1" applyBorder="1" applyAlignment="1"/>
    <xf numFmtId="3" fontId="23" fillId="11" borderId="78" xfId="0" applyNumberFormat="1" applyFont="1" applyFill="1" applyBorder="1" applyAlignment="1"/>
    <xf numFmtId="49" fontId="29" fillId="11" borderId="66" xfId="0" applyNumberFormat="1" applyFont="1" applyFill="1" applyBorder="1" applyAlignment="1">
      <alignment horizontal="left" vertical="center" wrapText="1"/>
    </xf>
    <xf numFmtId="0" fontId="29" fillId="11" borderId="66" xfId="0" applyFont="1" applyFill="1" applyBorder="1" applyAlignment="1">
      <alignment horizontal="left" vertical="center" wrapText="1"/>
    </xf>
    <xf numFmtId="49" fontId="25" fillId="11" borderId="66" xfId="0" applyNumberFormat="1" applyFont="1" applyFill="1" applyBorder="1" applyAlignment="1">
      <alignment horizontal="center"/>
    </xf>
    <xf numFmtId="0" fontId="25" fillId="11" borderId="66" xfId="0" applyNumberFormat="1" applyFont="1" applyFill="1" applyBorder="1" applyAlignment="1"/>
    <xf numFmtId="3" fontId="25" fillId="11" borderId="66" xfId="0" applyNumberFormat="1" applyFont="1" applyFill="1" applyBorder="1" applyAlignment="1"/>
    <xf numFmtId="49" fontId="29" fillId="11" borderId="66" xfId="0" applyNumberFormat="1" applyFont="1" applyFill="1" applyBorder="1" applyAlignment="1"/>
    <xf numFmtId="0" fontId="25" fillId="11" borderId="66" xfId="0" applyFont="1" applyFill="1" applyBorder="1" applyAlignment="1">
      <alignment horizontal="center"/>
    </xf>
    <xf numFmtId="3" fontId="25" fillId="14" borderId="66" xfId="0" applyNumberFormat="1" applyFont="1" applyFill="1" applyBorder="1" applyAlignment="1"/>
    <xf numFmtId="49" fontId="25" fillId="11" borderId="79" xfId="0" applyNumberFormat="1" applyFont="1" applyFill="1" applyBorder="1" applyAlignment="1"/>
    <xf numFmtId="0" fontId="25" fillId="11" borderId="79" xfId="0" applyFont="1" applyFill="1" applyBorder="1" applyAlignment="1">
      <alignment horizontal="center"/>
    </xf>
    <xf numFmtId="0" fontId="25" fillId="11" borderId="79" xfId="0" applyFont="1" applyFill="1" applyBorder="1" applyAlignment="1"/>
    <xf numFmtId="3" fontId="25" fillId="14" borderId="79" xfId="0" applyNumberFormat="1" applyFont="1" applyFill="1" applyBorder="1" applyAlignment="1"/>
    <xf numFmtId="3" fontId="25" fillId="11" borderId="79" xfId="0" applyNumberFormat="1" applyFont="1" applyFill="1" applyBorder="1" applyAlignment="1"/>
    <xf numFmtId="49" fontId="25" fillId="11" borderId="76" xfId="0" applyNumberFormat="1" applyFont="1" applyFill="1" applyBorder="1" applyAlignment="1"/>
    <xf numFmtId="49" fontId="25" fillId="11" borderId="76" xfId="0" applyNumberFormat="1" applyFont="1" applyFill="1" applyBorder="1" applyAlignment="1">
      <alignment horizontal="center"/>
    </xf>
    <xf numFmtId="0" fontId="25" fillId="11" borderId="76" xfId="0" applyNumberFormat="1" applyFont="1" applyFill="1" applyBorder="1" applyAlignment="1"/>
    <xf numFmtId="3" fontId="25" fillId="14" borderId="76" xfId="0" applyNumberFormat="1" applyFont="1" applyFill="1" applyBorder="1" applyAlignment="1"/>
    <xf numFmtId="3" fontId="25" fillId="11" borderId="76" xfId="0" applyNumberFormat="1" applyFont="1" applyFill="1" applyBorder="1" applyAlignment="1"/>
    <xf numFmtId="49" fontId="30" fillId="12" borderId="60" xfId="0" applyNumberFormat="1" applyFont="1" applyFill="1" applyBorder="1" applyAlignment="1">
      <alignment vertical="center"/>
    </xf>
    <xf numFmtId="0" fontId="30" fillId="12" borderId="60" xfId="0" applyFont="1" applyFill="1" applyBorder="1" applyAlignment="1">
      <alignment horizontal="center" vertical="center"/>
    </xf>
    <xf numFmtId="0" fontId="30" fillId="12" borderId="60" xfId="0" applyFont="1" applyFill="1" applyBorder="1" applyAlignment="1">
      <alignment vertical="center"/>
    </xf>
    <xf numFmtId="3" fontId="30" fillId="12" borderId="60" xfId="0" applyNumberFormat="1" applyFont="1" applyFill="1" applyBorder="1" applyAlignment="1">
      <alignment vertical="center"/>
    </xf>
    <xf numFmtId="0" fontId="23" fillId="11" borderId="78" xfId="0" applyFont="1" applyFill="1" applyBorder="1" applyAlignment="1">
      <alignment horizontal="center"/>
    </xf>
    <xf numFmtId="165" fontId="25" fillId="11" borderId="66" xfId="0" applyNumberFormat="1" applyFont="1" applyFill="1" applyBorder="1" applyAlignment="1"/>
    <xf numFmtId="165" fontId="25" fillId="14" borderId="66" xfId="0" applyNumberFormat="1" applyFont="1" applyFill="1" applyBorder="1" applyAlignment="1"/>
    <xf numFmtId="49" fontId="30" fillId="12" borderId="80" xfId="0" applyNumberFormat="1" applyFont="1" applyFill="1" applyBorder="1" applyAlignment="1">
      <alignment vertical="center"/>
    </xf>
    <xf numFmtId="0" fontId="30" fillId="12" borderId="80" xfId="0" applyFont="1" applyFill="1" applyBorder="1" applyAlignment="1">
      <alignment horizontal="center" vertical="center"/>
    </xf>
    <xf numFmtId="0" fontId="30" fillId="12" borderId="80" xfId="0" applyFont="1" applyFill="1" applyBorder="1" applyAlignment="1">
      <alignment vertical="center"/>
    </xf>
    <xf numFmtId="3" fontId="30" fillId="12" borderId="80" xfId="0" applyNumberFormat="1" applyFont="1" applyFill="1" applyBorder="1" applyAlignment="1">
      <alignment vertical="center"/>
    </xf>
    <xf numFmtId="0" fontId="23" fillId="11" borderId="81" xfId="0" applyFont="1" applyFill="1" applyBorder="1" applyAlignment="1"/>
    <xf numFmtId="3" fontId="23" fillId="11" borderId="81" xfId="0" applyNumberFormat="1" applyFont="1" applyFill="1" applyBorder="1" applyAlignment="1"/>
    <xf numFmtId="0" fontId="0" fillId="11" borderId="82" xfId="0" applyFont="1" applyFill="1" applyBorder="1" applyAlignment="1"/>
    <xf numFmtId="49" fontId="22" fillId="15" borderId="83" xfId="0" applyNumberFormat="1" applyFont="1" applyFill="1" applyBorder="1" applyAlignment="1">
      <alignment vertical="center"/>
    </xf>
    <xf numFmtId="0" fontId="22" fillId="15" borderId="84" xfId="0" applyFont="1" applyFill="1" applyBorder="1" applyAlignment="1">
      <alignment vertical="center"/>
    </xf>
    <xf numFmtId="166" fontId="22" fillId="15" borderId="85" xfId="0" applyNumberFormat="1" applyFont="1" applyFill="1" applyBorder="1" applyAlignment="1">
      <alignment vertical="center"/>
    </xf>
    <xf numFmtId="49" fontId="22" fillId="12" borderId="86" xfId="0" applyNumberFormat="1" applyFont="1" applyFill="1" applyBorder="1" applyAlignment="1">
      <alignment vertical="center"/>
    </xf>
    <xf numFmtId="0" fontId="22" fillId="12" borderId="60" xfId="0" applyFont="1" applyFill="1" applyBorder="1" applyAlignment="1">
      <alignment vertical="center"/>
    </xf>
    <xf numFmtId="166" fontId="22" fillId="12" borderId="87" xfId="0" applyNumberFormat="1" applyFont="1" applyFill="1" applyBorder="1" applyAlignment="1">
      <alignment vertical="center"/>
    </xf>
    <xf numFmtId="49" fontId="22" fillId="15" borderId="86" xfId="0" applyNumberFormat="1" applyFont="1" applyFill="1" applyBorder="1" applyAlignment="1">
      <alignment vertical="center"/>
    </xf>
    <xf numFmtId="0" fontId="22" fillId="15" borderId="60" xfId="0" applyFont="1" applyFill="1" applyBorder="1" applyAlignment="1">
      <alignment vertical="center"/>
    </xf>
    <xf numFmtId="166" fontId="22" fillId="15" borderId="87" xfId="0" applyNumberFormat="1" applyFont="1" applyFill="1" applyBorder="1" applyAlignment="1">
      <alignment vertical="center"/>
    </xf>
    <xf numFmtId="49" fontId="22" fillId="15" borderId="88" xfId="0" applyNumberFormat="1" applyFont="1" applyFill="1" applyBorder="1" applyAlignment="1">
      <alignment vertical="center"/>
    </xf>
    <xf numFmtId="0" fontId="31" fillId="15" borderId="89" xfId="0" applyFont="1" applyFill="1" applyBorder="1" applyAlignment="1">
      <alignment vertical="center"/>
    </xf>
    <xf numFmtId="166" fontId="22" fillId="16" borderId="90" xfId="0" applyNumberFormat="1" applyFont="1" applyFill="1" applyBorder="1" applyAlignment="1">
      <alignment vertical="center"/>
    </xf>
    <xf numFmtId="42" fontId="0" fillId="0" borderId="23" xfId="1" applyFont="1" applyFill="1" applyBorder="1" applyAlignment="1"/>
    <xf numFmtId="49" fontId="0" fillId="11" borderId="23" xfId="0" applyNumberFormat="1" applyFont="1" applyFill="1" applyBorder="1" applyAlignment="1">
      <alignment vertical="center"/>
    </xf>
    <xf numFmtId="0" fontId="31" fillId="11" borderId="23" xfId="0" applyFont="1" applyFill="1" applyBorder="1" applyAlignment="1">
      <alignment vertical="center"/>
    </xf>
    <xf numFmtId="166" fontId="22" fillId="11" borderId="23" xfId="0" applyNumberFormat="1" applyFont="1" applyFill="1" applyBorder="1" applyAlignment="1">
      <alignment vertical="center"/>
    </xf>
    <xf numFmtId="0" fontId="0" fillId="11" borderId="23" xfId="0" applyFont="1" applyFill="1" applyBorder="1" applyAlignment="1">
      <alignment vertical="center"/>
    </xf>
    <xf numFmtId="49" fontId="34" fillId="11" borderId="45" xfId="0" applyNumberFormat="1" applyFont="1" applyFill="1" applyBorder="1" applyAlignment="1">
      <alignment vertical="center"/>
    </xf>
    <xf numFmtId="0" fontId="36" fillId="11" borderId="46" xfId="0" applyFont="1" applyFill="1" applyBorder="1" applyAlignment="1"/>
    <xf numFmtId="0" fontId="36" fillId="11" borderId="47" xfId="0" applyFont="1" applyFill="1" applyBorder="1" applyAlignment="1"/>
    <xf numFmtId="49" fontId="36" fillId="11" borderId="48" xfId="0" applyNumberFormat="1" applyFont="1" applyFill="1" applyBorder="1" applyAlignment="1">
      <alignment vertical="center"/>
    </xf>
    <xf numFmtId="0" fontId="36" fillId="11" borderId="23" xfId="0" applyFont="1" applyFill="1" applyBorder="1" applyAlignment="1"/>
    <xf numFmtId="0" fontId="36" fillId="11" borderId="49" xfId="0" applyFont="1" applyFill="1" applyBorder="1" applyAlignment="1"/>
    <xf numFmtId="49" fontId="36" fillId="11" borderId="50" xfId="0" applyNumberFormat="1" applyFont="1" applyFill="1" applyBorder="1" applyAlignment="1">
      <alignment vertical="center"/>
    </xf>
    <xf numFmtId="0" fontId="36" fillId="11" borderId="51" xfId="0" applyFont="1" applyFill="1" applyBorder="1" applyAlignment="1"/>
    <xf numFmtId="0" fontId="36" fillId="11" borderId="52" xfId="0" applyFont="1" applyFill="1" applyBorder="1" applyAlignment="1"/>
    <xf numFmtId="0" fontId="36" fillId="11" borderId="23" xfId="0" applyFont="1" applyFill="1" applyBorder="1" applyAlignment="1">
      <alignment vertical="center"/>
    </xf>
    <xf numFmtId="0" fontId="36" fillId="17" borderId="93" xfId="0" applyFont="1" applyFill="1" applyBorder="1" applyAlignment="1"/>
    <xf numFmtId="0" fontId="36" fillId="18" borderId="23" xfId="0" applyFont="1" applyFill="1" applyBorder="1" applyAlignment="1"/>
    <xf numFmtId="49" fontId="34" fillId="19" borderId="94" xfId="0" applyNumberFormat="1" applyFont="1" applyFill="1" applyBorder="1" applyAlignment="1">
      <alignment vertical="center"/>
    </xf>
    <xf numFmtId="49" fontId="34" fillId="19" borderId="95" xfId="0" applyNumberFormat="1" applyFont="1" applyFill="1" applyBorder="1" applyAlignment="1">
      <alignment vertical="center"/>
    </xf>
    <xf numFmtId="49" fontId="36" fillId="19" borderId="96" xfId="0" applyNumberFormat="1" applyFont="1" applyFill="1" applyBorder="1" applyAlignment="1"/>
    <xf numFmtId="49" fontId="34" fillId="11" borderId="97" xfId="0" applyNumberFormat="1" applyFont="1" applyFill="1" applyBorder="1" applyAlignment="1">
      <alignment vertical="center"/>
    </xf>
    <xf numFmtId="3" fontId="34" fillId="11" borderId="66" xfId="0" applyNumberFormat="1" applyFont="1" applyFill="1" applyBorder="1" applyAlignment="1">
      <alignment vertical="center"/>
    </xf>
    <xf numFmtId="9" fontId="36" fillId="11" borderId="98" xfId="0" applyNumberFormat="1" applyFont="1" applyFill="1" applyBorder="1" applyAlignment="1"/>
    <xf numFmtId="0" fontId="34" fillId="11" borderId="66" xfId="0" applyNumberFormat="1" applyFont="1" applyFill="1" applyBorder="1" applyAlignment="1">
      <alignment vertical="center"/>
    </xf>
    <xf numFmtId="167" fontId="34" fillId="11" borderId="66" xfId="0" applyNumberFormat="1" applyFont="1" applyFill="1" applyBorder="1" applyAlignment="1">
      <alignment vertical="center"/>
    </xf>
    <xf numFmtId="0" fontId="31" fillId="18" borderId="23" xfId="0" applyFont="1" applyFill="1" applyBorder="1" applyAlignment="1">
      <alignment vertical="center"/>
    </xf>
    <xf numFmtId="49" fontId="34" fillId="19" borderId="99" xfId="0" applyNumberFormat="1" applyFont="1" applyFill="1" applyBorder="1" applyAlignment="1">
      <alignment vertical="center"/>
    </xf>
    <xf numFmtId="167" fontId="34" fillId="19" borderId="100" xfId="0" applyNumberFormat="1" applyFont="1" applyFill="1" applyBorder="1" applyAlignment="1">
      <alignment vertical="center"/>
    </xf>
    <xf numFmtId="9" fontId="34" fillId="19" borderId="101" xfId="0" applyNumberFormat="1" applyFont="1" applyFill="1" applyBorder="1" applyAlignment="1">
      <alignment vertical="center"/>
    </xf>
    <xf numFmtId="0" fontId="38" fillId="11" borderId="23" xfId="0" applyFont="1" applyFill="1" applyBorder="1" applyAlignment="1">
      <alignment vertical="center"/>
    </xf>
    <xf numFmtId="0" fontId="0" fillId="11" borderId="102" xfId="0" applyFont="1" applyFill="1" applyBorder="1" applyAlignment="1"/>
    <xf numFmtId="0" fontId="31" fillId="17" borderId="103" xfId="0" applyFont="1" applyFill="1" applyBorder="1" applyAlignment="1">
      <alignment vertical="center"/>
    </xf>
    <xf numFmtId="49" fontId="37" fillId="17" borderId="23" xfId="0" applyNumberFormat="1" applyFont="1" applyFill="1" applyBorder="1" applyAlignment="1">
      <alignment vertical="center"/>
    </xf>
    <xf numFmtId="0" fontId="31" fillId="17" borderId="23" xfId="0" applyFont="1" applyFill="1" applyBorder="1" applyAlignment="1">
      <alignment vertical="center"/>
    </xf>
    <xf numFmtId="0" fontId="31" fillId="17" borderId="104" xfId="0" applyFont="1" applyFill="1" applyBorder="1" applyAlignment="1">
      <alignment vertical="center"/>
    </xf>
    <xf numFmtId="0" fontId="31" fillId="18" borderId="103" xfId="0" applyFont="1" applyFill="1" applyBorder="1" applyAlignment="1">
      <alignment vertical="center"/>
    </xf>
    <xf numFmtId="49" fontId="34" fillId="19" borderId="105" xfId="0" applyNumberFormat="1" applyFont="1" applyFill="1" applyBorder="1" applyAlignment="1">
      <alignment vertical="center"/>
    </xf>
    <xf numFmtId="41" fontId="34" fillId="19" borderId="106" xfId="2" applyFont="1" applyFill="1" applyBorder="1" applyAlignment="1">
      <alignment vertical="center"/>
    </xf>
    <xf numFmtId="41" fontId="34" fillId="19" borderId="107" xfId="2" applyFont="1" applyFill="1" applyBorder="1" applyAlignment="1">
      <alignment vertical="center"/>
    </xf>
    <xf numFmtId="0" fontId="34" fillId="18" borderId="23" xfId="0" applyFont="1" applyFill="1" applyBorder="1" applyAlignment="1">
      <alignment vertical="center"/>
    </xf>
    <xf numFmtId="166" fontId="39" fillId="11" borderId="23" xfId="0" applyNumberFormat="1" applyFont="1" applyFill="1" applyBorder="1" applyAlignment="1">
      <alignment vertical="center"/>
    </xf>
    <xf numFmtId="167" fontId="34" fillId="19" borderId="101" xfId="0" applyNumberFormat="1" applyFont="1" applyFill="1" applyBorder="1" applyAlignment="1">
      <alignment vertical="center"/>
    </xf>
    <xf numFmtId="49" fontId="36" fillId="11" borderId="23" xfId="0" applyNumberFormat="1" applyFont="1" applyFill="1" applyBorder="1" applyAlignment="1">
      <alignment vertical="center"/>
    </xf>
    <xf numFmtId="3" fontId="21" fillId="14" borderId="66" xfId="0" applyNumberFormat="1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1" fillId="3" borderId="58" xfId="0" applyNumberFormat="1" applyFont="1" applyFill="1" applyBorder="1" applyAlignment="1">
      <alignment horizontal="center" vertical="center" wrapText="1"/>
    </xf>
    <xf numFmtId="49" fontId="1" fillId="3" borderId="59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27" fillId="12" borderId="66" xfId="0" applyNumberFormat="1" applyFont="1" applyFill="1" applyBorder="1" applyAlignment="1">
      <alignment horizontal="center" vertical="center"/>
    </xf>
    <xf numFmtId="0" fontId="27" fillId="13" borderId="66" xfId="0" applyFont="1" applyFill="1" applyBorder="1" applyAlignment="1">
      <alignment horizontal="center" vertical="center"/>
    </xf>
    <xf numFmtId="49" fontId="37" fillId="17" borderId="91" xfId="0" applyNumberFormat="1" applyFont="1" applyFill="1" applyBorder="1" applyAlignment="1">
      <alignment vertical="center"/>
    </xf>
    <xf numFmtId="0" fontId="34" fillId="17" borderId="92" xfId="0" applyFont="1" applyFill="1" applyBorder="1" applyAlignment="1">
      <alignment vertical="center"/>
    </xf>
    <xf numFmtId="49" fontId="25" fillId="11" borderId="66" xfId="0" applyNumberFormat="1" applyFont="1" applyFill="1" applyBorder="1" applyAlignment="1">
      <alignment wrapText="1"/>
    </xf>
    <xf numFmtId="0" fontId="25" fillId="11" borderId="66" xfId="0" applyFont="1" applyFill="1" applyBorder="1" applyAlignment="1">
      <alignment wrapText="1"/>
    </xf>
    <xf numFmtId="49" fontId="25" fillId="11" borderId="66" xfId="0" applyNumberFormat="1" applyFont="1" applyFill="1" applyBorder="1" applyAlignment="1"/>
    <xf numFmtId="0" fontId="25" fillId="11" borderId="66" xfId="0" applyFont="1" applyFill="1" applyBorder="1" applyAlignment="1"/>
  </cellXfs>
  <cellStyles count="3">
    <cellStyle name="Millares [0]" xfId="2" builtinId="6"/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757237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830580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912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115"/>
  <sheetViews>
    <sheetView showGridLines="0" topLeftCell="A73" zoomScale="110" zoomScaleNormal="110" workbookViewId="0">
      <selection activeCell="G13" sqref="G1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12" style="1" bestFit="1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61</v>
      </c>
      <c r="D9" s="8"/>
      <c r="E9" s="314" t="s">
        <v>142</v>
      </c>
      <c r="F9" s="315"/>
      <c r="G9" s="156">
        <v>72000</v>
      </c>
    </row>
    <row r="10" spans="1:7" ht="38.25" customHeight="1" x14ac:dyDescent="0.25">
      <c r="A10" s="5"/>
      <c r="B10" s="9" t="s">
        <v>1</v>
      </c>
      <c r="C10" s="10" t="s">
        <v>62</v>
      </c>
      <c r="D10" s="11"/>
      <c r="E10" s="312" t="s">
        <v>2</v>
      </c>
      <c r="F10" s="313"/>
      <c r="G10" s="13" t="s">
        <v>64</v>
      </c>
    </row>
    <row r="11" spans="1:7" ht="18" customHeight="1" x14ac:dyDescent="0.25">
      <c r="A11" s="5"/>
      <c r="B11" s="9" t="s">
        <v>3</v>
      </c>
      <c r="C11" s="13" t="s">
        <v>4</v>
      </c>
      <c r="D11" s="11"/>
      <c r="E11" s="312" t="s">
        <v>65</v>
      </c>
      <c r="F11" s="313"/>
      <c r="G11" s="14">
        <v>300</v>
      </c>
    </row>
    <row r="12" spans="1:7" ht="16.899999999999999" customHeight="1" x14ac:dyDescent="0.25">
      <c r="A12" s="5"/>
      <c r="B12" s="9" t="s">
        <v>5</v>
      </c>
      <c r="C12" s="15" t="s">
        <v>63</v>
      </c>
      <c r="D12" s="11"/>
      <c r="E12" s="16" t="s">
        <v>6</v>
      </c>
      <c r="F12" s="17"/>
      <c r="G12" s="18">
        <f>G11*G9</f>
        <v>21600000</v>
      </c>
    </row>
    <row r="13" spans="1:7" ht="15.6" customHeight="1" x14ac:dyDescent="0.25">
      <c r="A13" s="5"/>
      <c r="B13" s="9" t="s">
        <v>7</v>
      </c>
      <c r="C13" s="13" t="s">
        <v>143</v>
      </c>
      <c r="D13" s="11"/>
      <c r="E13" s="312" t="s">
        <v>8</v>
      </c>
      <c r="F13" s="313"/>
      <c r="G13" s="13" t="s">
        <v>66</v>
      </c>
    </row>
    <row r="14" spans="1:7" ht="13.5" customHeight="1" x14ac:dyDescent="0.25">
      <c r="A14" s="5"/>
      <c r="B14" s="9" t="s">
        <v>9</v>
      </c>
      <c r="C14" s="13" t="s">
        <v>60</v>
      </c>
      <c r="D14" s="11"/>
      <c r="E14" s="312" t="s">
        <v>10</v>
      </c>
      <c r="F14" s="313"/>
      <c r="G14" s="13" t="s">
        <v>67</v>
      </c>
    </row>
    <row r="15" spans="1:7" ht="25.5" customHeight="1" x14ac:dyDescent="0.25">
      <c r="A15" s="5"/>
      <c r="B15" s="9" t="s">
        <v>11</v>
      </c>
      <c r="C15" s="19">
        <v>44621</v>
      </c>
      <c r="D15" s="11"/>
      <c r="E15" s="316" t="s">
        <v>12</v>
      </c>
      <c r="F15" s="317"/>
      <c r="G15" s="15" t="s">
        <v>144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318" t="s">
        <v>73</v>
      </c>
      <c r="C17" s="319"/>
      <c r="D17" s="319"/>
      <c r="E17" s="319"/>
      <c r="F17" s="319"/>
      <c r="G17" s="319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13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14</v>
      </c>
      <c r="C20" s="32" t="s">
        <v>15</v>
      </c>
      <c r="D20" s="32" t="s">
        <v>16</v>
      </c>
      <c r="E20" s="32" t="s">
        <v>17</v>
      </c>
      <c r="F20" s="32" t="s">
        <v>18</v>
      </c>
      <c r="G20" s="32" t="s">
        <v>19</v>
      </c>
    </row>
    <row r="21" spans="1:7" ht="12.75" customHeight="1" x14ac:dyDescent="0.25">
      <c r="A21" s="25"/>
      <c r="B21" s="141" t="s">
        <v>85</v>
      </c>
      <c r="C21" s="33" t="s">
        <v>74</v>
      </c>
      <c r="D21" s="34">
        <v>4</v>
      </c>
      <c r="E21" s="141" t="s">
        <v>72</v>
      </c>
      <c r="F21" s="18">
        <v>25000</v>
      </c>
      <c r="G21" s="18">
        <f t="shared" ref="G21:G28" si="0">+F21*D21</f>
        <v>100000</v>
      </c>
    </row>
    <row r="22" spans="1:7" ht="12.75" customHeight="1" x14ac:dyDescent="0.25">
      <c r="A22" s="25"/>
      <c r="B22" s="141" t="s">
        <v>75</v>
      </c>
      <c r="C22" s="33" t="s">
        <v>74</v>
      </c>
      <c r="D22" s="34">
        <v>1</v>
      </c>
      <c r="E22" s="141" t="s">
        <v>76</v>
      </c>
      <c r="F22" s="18">
        <v>25000</v>
      </c>
      <c r="G22" s="18">
        <f t="shared" si="0"/>
        <v>25000</v>
      </c>
    </row>
    <row r="23" spans="1:7" ht="12.75" customHeight="1" x14ac:dyDescent="0.25">
      <c r="A23" s="25"/>
      <c r="B23" s="141" t="s">
        <v>77</v>
      </c>
      <c r="C23" s="33" t="s">
        <v>74</v>
      </c>
      <c r="D23" s="34">
        <f>1*4*12</f>
        <v>48</v>
      </c>
      <c r="E23" s="141" t="s">
        <v>67</v>
      </c>
      <c r="F23" s="18">
        <v>25000</v>
      </c>
      <c r="G23" s="18">
        <f t="shared" si="0"/>
        <v>1200000</v>
      </c>
    </row>
    <row r="24" spans="1:7" ht="12.75" customHeight="1" x14ac:dyDescent="0.25">
      <c r="A24" s="25"/>
      <c r="B24" s="141" t="s">
        <v>69</v>
      </c>
      <c r="C24" s="33" t="s">
        <v>74</v>
      </c>
      <c r="D24" s="34">
        <f>0.5*4*12</f>
        <v>24</v>
      </c>
      <c r="E24" s="141" t="s">
        <v>67</v>
      </c>
      <c r="F24" s="18">
        <v>25000</v>
      </c>
      <c r="G24" s="18">
        <f t="shared" si="0"/>
        <v>600000</v>
      </c>
    </row>
    <row r="25" spans="1:7" ht="12.75" customHeight="1" x14ac:dyDescent="0.25">
      <c r="A25" s="25"/>
      <c r="B25" s="141" t="s">
        <v>70</v>
      </c>
      <c r="C25" s="33" t="s">
        <v>74</v>
      </c>
      <c r="D25" s="34">
        <v>12</v>
      </c>
      <c r="E25" s="141" t="s">
        <v>67</v>
      </c>
      <c r="F25" s="18">
        <v>25000</v>
      </c>
      <c r="G25" s="18">
        <f t="shared" si="0"/>
        <v>300000</v>
      </c>
    </row>
    <row r="26" spans="1:7" ht="12.75" customHeight="1" x14ac:dyDescent="0.25">
      <c r="A26" s="25"/>
      <c r="B26" s="141" t="s">
        <v>78</v>
      </c>
      <c r="C26" s="33" t="s">
        <v>74</v>
      </c>
      <c r="D26" s="34">
        <f>2*4*12</f>
        <v>96</v>
      </c>
      <c r="E26" s="141" t="s">
        <v>67</v>
      </c>
      <c r="F26" s="18">
        <v>25000</v>
      </c>
      <c r="G26" s="18">
        <f t="shared" si="0"/>
        <v>2400000</v>
      </c>
    </row>
    <row r="27" spans="1:7" ht="12.75" customHeight="1" x14ac:dyDescent="0.25">
      <c r="A27" s="25"/>
      <c r="B27" s="141" t="s">
        <v>79</v>
      </c>
      <c r="C27" s="33" t="s">
        <v>74</v>
      </c>
      <c r="D27" s="34">
        <v>50</v>
      </c>
      <c r="E27" s="141" t="s">
        <v>67</v>
      </c>
      <c r="F27" s="18">
        <v>25000</v>
      </c>
      <c r="G27" s="18">
        <f t="shared" si="0"/>
        <v>1250000</v>
      </c>
    </row>
    <row r="28" spans="1:7" ht="15" x14ac:dyDescent="0.25">
      <c r="A28" s="25"/>
      <c r="B28" s="12" t="s">
        <v>83</v>
      </c>
      <c r="C28" s="33" t="s">
        <v>74</v>
      </c>
      <c r="D28" s="34">
        <v>7.5</v>
      </c>
      <c r="E28" s="12" t="s">
        <v>84</v>
      </c>
      <c r="F28" s="18">
        <v>40000</v>
      </c>
      <c r="G28" s="18">
        <f t="shared" si="0"/>
        <v>300000</v>
      </c>
    </row>
    <row r="29" spans="1:7" ht="12.75" customHeight="1" x14ac:dyDescent="0.25">
      <c r="A29" s="25"/>
      <c r="B29" s="35" t="s">
        <v>20</v>
      </c>
      <c r="C29" s="36"/>
      <c r="D29" s="36"/>
      <c r="E29" s="36"/>
      <c r="F29" s="37"/>
      <c r="G29" s="38">
        <f>SUM(G21:G28)</f>
        <v>6175000</v>
      </c>
    </row>
    <row r="30" spans="1:7" ht="12" customHeight="1" x14ac:dyDescent="0.25">
      <c r="A30" s="2"/>
      <c r="B30" s="26"/>
      <c r="C30" s="28"/>
      <c r="D30" s="28"/>
      <c r="E30" s="28"/>
      <c r="F30" s="39"/>
      <c r="G30" s="39"/>
    </row>
    <row r="31" spans="1:7" ht="12" customHeight="1" x14ac:dyDescent="0.25">
      <c r="A31" s="5"/>
      <c r="B31" s="40" t="s">
        <v>21</v>
      </c>
      <c r="C31" s="41"/>
      <c r="D31" s="42"/>
      <c r="E31" s="42"/>
      <c r="F31" s="43"/>
      <c r="G31" s="43"/>
    </row>
    <row r="32" spans="1:7" ht="24" customHeight="1" x14ac:dyDescent="0.25">
      <c r="A32" s="5"/>
      <c r="B32" s="44" t="s">
        <v>14</v>
      </c>
      <c r="C32" s="45" t="s">
        <v>15</v>
      </c>
      <c r="D32" s="45" t="s">
        <v>16</v>
      </c>
      <c r="E32" s="44" t="s">
        <v>17</v>
      </c>
      <c r="F32" s="45" t="s">
        <v>18</v>
      </c>
      <c r="G32" s="44" t="s">
        <v>19</v>
      </c>
    </row>
    <row r="33" spans="1:7" ht="12" customHeight="1" x14ac:dyDescent="0.25">
      <c r="A33" s="5"/>
      <c r="B33" s="46"/>
      <c r="C33" s="47"/>
      <c r="D33" s="47"/>
      <c r="E33" s="47"/>
      <c r="F33" s="46"/>
      <c r="G33" s="46"/>
    </row>
    <row r="34" spans="1:7" ht="12" customHeight="1" x14ac:dyDescent="0.25">
      <c r="A34" s="5"/>
      <c r="B34" s="48" t="s">
        <v>22</v>
      </c>
      <c r="C34" s="49"/>
      <c r="D34" s="49"/>
      <c r="E34" s="49"/>
      <c r="F34" s="50"/>
      <c r="G34" s="50"/>
    </row>
    <row r="35" spans="1:7" ht="12" customHeight="1" x14ac:dyDescent="0.25">
      <c r="A35" s="2"/>
      <c r="B35" s="12"/>
      <c r="C35" s="33"/>
      <c r="D35" s="34"/>
      <c r="E35" s="12"/>
      <c r="F35" s="18"/>
      <c r="G35" s="18"/>
    </row>
    <row r="36" spans="1:7" ht="12" customHeight="1" x14ac:dyDescent="0.25">
      <c r="A36" s="5"/>
      <c r="B36" s="40" t="s">
        <v>23</v>
      </c>
      <c r="C36" s="41"/>
      <c r="D36" s="42"/>
      <c r="E36" s="42"/>
      <c r="F36" s="43"/>
      <c r="G36" s="43"/>
    </row>
    <row r="37" spans="1:7" ht="24" customHeight="1" x14ac:dyDescent="0.25">
      <c r="A37" s="5"/>
      <c r="B37" s="54" t="s">
        <v>14</v>
      </c>
      <c r="C37" s="54" t="s">
        <v>15</v>
      </c>
      <c r="D37" s="54" t="s">
        <v>16</v>
      </c>
      <c r="E37" s="54" t="s">
        <v>17</v>
      </c>
      <c r="F37" s="55" t="s">
        <v>18</v>
      </c>
      <c r="G37" s="54" t="s">
        <v>19</v>
      </c>
    </row>
    <row r="38" spans="1:7" ht="12.75" customHeight="1" x14ac:dyDescent="0.25">
      <c r="A38" s="25"/>
      <c r="B38" s="141" t="s">
        <v>68</v>
      </c>
      <c r="C38" s="33" t="s">
        <v>71</v>
      </c>
      <c r="D38" s="34">
        <v>0.56999999999999995</v>
      </c>
      <c r="E38" s="141" t="s">
        <v>72</v>
      </c>
      <c r="F38" s="18">
        <v>176000</v>
      </c>
      <c r="G38" s="18">
        <f>+D38*F38</f>
        <v>100319.99999999999</v>
      </c>
    </row>
    <row r="39" spans="1:7" ht="12.75" customHeight="1" x14ac:dyDescent="0.25">
      <c r="A39" s="25"/>
      <c r="B39" s="56"/>
      <c r="C39" s="57"/>
      <c r="D39" s="58"/>
      <c r="E39" s="59"/>
      <c r="F39" s="60"/>
      <c r="G39" s="60">
        <f t="shared" ref="G39" si="1">(D39*F39)</f>
        <v>0</v>
      </c>
    </row>
    <row r="40" spans="1:7" ht="12.75" customHeight="1" x14ac:dyDescent="0.25">
      <c r="A40" s="5"/>
      <c r="B40" s="61" t="s">
        <v>24</v>
      </c>
      <c r="C40" s="62"/>
      <c r="D40" s="62"/>
      <c r="E40" s="62"/>
      <c r="F40" s="63"/>
      <c r="G40" s="64">
        <f>SUM(G38:G39)</f>
        <v>100319.99999999999</v>
      </c>
    </row>
    <row r="41" spans="1:7" ht="12" customHeight="1" x14ac:dyDescent="0.25">
      <c r="A41" s="2"/>
      <c r="B41" s="51"/>
      <c r="C41" s="52"/>
      <c r="D41" s="52"/>
      <c r="E41" s="52"/>
      <c r="F41" s="53"/>
      <c r="G41" s="53"/>
    </row>
    <row r="42" spans="1:7" ht="12" customHeight="1" x14ac:dyDescent="0.25">
      <c r="A42" s="5"/>
      <c r="B42" s="40" t="s">
        <v>25</v>
      </c>
      <c r="C42" s="41"/>
      <c r="D42" s="42"/>
      <c r="E42" s="42"/>
      <c r="F42" s="43"/>
      <c r="G42" s="43"/>
    </row>
    <row r="43" spans="1:7" ht="24" customHeight="1" x14ac:dyDescent="0.25">
      <c r="A43" s="5"/>
      <c r="B43" s="55" t="s">
        <v>26</v>
      </c>
      <c r="C43" s="55" t="s">
        <v>27</v>
      </c>
      <c r="D43" s="55" t="s">
        <v>28</v>
      </c>
      <c r="E43" s="55" t="s">
        <v>17</v>
      </c>
      <c r="F43" s="55" t="s">
        <v>18</v>
      </c>
      <c r="G43" s="55" t="s">
        <v>19</v>
      </c>
    </row>
    <row r="44" spans="1:7" ht="12.75" customHeight="1" x14ac:dyDescent="0.25">
      <c r="A44" s="25"/>
      <c r="B44" s="65" t="s">
        <v>115</v>
      </c>
      <c r="C44" s="66"/>
      <c r="D44" s="66"/>
      <c r="E44" s="66"/>
      <c r="F44" s="66"/>
      <c r="G44" s="66"/>
    </row>
    <row r="45" spans="1:7" ht="12.75" customHeight="1" x14ac:dyDescent="0.25">
      <c r="A45" s="25"/>
      <c r="B45" s="16" t="s">
        <v>86</v>
      </c>
      <c r="C45" s="67" t="s">
        <v>87</v>
      </c>
      <c r="D45" s="68">
        <v>2000</v>
      </c>
      <c r="E45" s="67" t="s">
        <v>88</v>
      </c>
      <c r="F45" s="69">
        <v>2400</v>
      </c>
      <c r="G45" s="69">
        <f>(D45*F45)</f>
        <v>4800000</v>
      </c>
    </row>
    <row r="46" spans="1:7" ht="12.75" customHeight="1" x14ac:dyDescent="0.25">
      <c r="A46" s="25"/>
      <c r="B46" s="70" t="s">
        <v>29</v>
      </c>
      <c r="C46" s="71"/>
      <c r="D46" s="17"/>
      <c r="E46" s="71"/>
      <c r="F46" s="69"/>
      <c r="G46" s="69"/>
    </row>
    <row r="47" spans="1:7" ht="12.75" customHeight="1" x14ac:dyDescent="0.25">
      <c r="A47" s="25"/>
      <c r="B47" s="142" t="s">
        <v>116</v>
      </c>
      <c r="C47" s="71" t="s">
        <v>30</v>
      </c>
      <c r="D47" s="143">
        <v>75</v>
      </c>
      <c r="E47" s="71" t="s">
        <v>113</v>
      </c>
      <c r="F47" s="69">
        <v>1880</v>
      </c>
      <c r="G47" s="69">
        <f>(D47*F47)</f>
        <v>141000</v>
      </c>
    </row>
    <row r="48" spans="1:7" ht="12.75" customHeight="1" x14ac:dyDescent="0.25">
      <c r="A48" s="25"/>
      <c r="B48" s="142" t="s">
        <v>117</v>
      </c>
      <c r="C48" s="71" t="s">
        <v>30</v>
      </c>
      <c r="D48" s="143">
        <v>25</v>
      </c>
      <c r="E48" s="71" t="s">
        <v>113</v>
      </c>
      <c r="F48" s="69">
        <v>1000</v>
      </c>
      <c r="G48" s="69">
        <f>(D48*F48)</f>
        <v>25000</v>
      </c>
    </row>
    <row r="49" spans="1:7" ht="12.75" customHeight="1" x14ac:dyDescent="0.25">
      <c r="A49" s="25"/>
      <c r="B49" s="142" t="s">
        <v>118</v>
      </c>
      <c r="C49" s="67" t="s">
        <v>30</v>
      </c>
      <c r="D49" s="68">
        <v>25</v>
      </c>
      <c r="E49" s="67" t="s">
        <v>113</v>
      </c>
      <c r="F49" s="69">
        <v>720</v>
      </c>
      <c r="G49" s="69">
        <f t="shared" ref="G49:G57" si="2">+F49*D49</f>
        <v>18000</v>
      </c>
    </row>
    <row r="50" spans="1:7" ht="12.75" customHeight="1" x14ac:dyDescent="0.25">
      <c r="A50" s="25"/>
      <c r="B50" s="142" t="s">
        <v>119</v>
      </c>
      <c r="C50" s="67" t="s">
        <v>31</v>
      </c>
      <c r="D50" s="68">
        <v>25</v>
      </c>
      <c r="E50" s="67" t="s">
        <v>113</v>
      </c>
      <c r="F50" s="69">
        <v>1800</v>
      </c>
      <c r="G50" s="69">
        <f t="shared" si="2"/>
        <v>45000</v>
      </c>
    </row>
    <row r="51" spans="1:7" ht="12.75" customHeight="1" x14ac:dyDescent="0.25">
      <c r="A51" s="25"/>
      <c r="B51" s="142" t="s">
        <v>90</v>
      </c>
      <c r="C51" s="67" t="s">
        <v>30</v>
      </c>
      <c r="D51" s="68">
        <v>50</v>
      </c>
      <c r="E51" s="67" t="s">
        <v>113</v>
      </c>
      <c r="F51" s="69">
        <v>885</v>
      </c>
      <c r="G51" s="69">
        <f t="shared" si="2"/>
        <v>44250</v>
      </c>
    </row>
    <row r="52" spans="1:7" ht="12.75" customHeight="1" x14ac:dyDescent="0.25">
      <c r="A52" s="25"/>
      <c r="B52" s="142" t="s">
        <v>120</v>
      </c>
      <c r="C52" s="67" t="s">
        <v>121</v>
      </c>
      <c r="D52" s="68">
        <v>1</v>
      </c>
      <c r="E52" s="67" t="s">
        <v>113</v>
      </c>
      <c r="F52" s="150">
        <f>22338*1.19</f>
        <v>26582.219999999998</v>
      </c>
      <c r="G52" s="69">
        <f t="shared" si="2"/>
        <v>26582.219999999998</v>
      </c>
    </row>
    <row r="53" spans="1:7" ht="12.75" customHeight="1" x14ac:dyDescent="0.25">
      <c r="A53" s="25"/>
      <c r="B53" s="142" t="s">
        <v>124</v>
      </c>
      <c r="C53" s="67" t="s">
        <v>125</v>
      </c>
      <c r="D53" s="68">
        <v>1</v>
      </c>
      <c r="E53" s="67" t="s">
        <v>113</v>
      </c>
      <c r="F53" s="150">
        <v>81000</v>
      </c>
      <c r="G53" s="69">
        <f t="shared" si="2"/>
        <v>81000</v>
      </c>
    </row>
    <row r="54" spans="1:7" ht="12.75" customHeight="1" x14ac:dyDescent="0.25">
      <c r="A54" s="25"/>
      <c r="B54" s="142" t="s">
        <v>122</v>
      </c>
      <c r="C54" s="67" t="s">
        <v>123</v>
      </c>
      <c r="D54" s="68">
        <v>2</v>
      </c>
      <c r="E54" s="67" t="s">
        <v>113</v>
      </c>
      <c r="F54" s="69">
        <f>34000*1.19</f>
        <v>40460</v>
      </c>
      <c r="G54" s="69">
        <f t="shared" si="2"/>
        <v>80920</v>
      </c>
    </row>
    <row r="55" spans="1:7" ht="12.75" customHeight="1" x14ac:dyDescent="0.25">
      <c r="A55" s="25"/>
      <c r="B55" s="142" t="s">
        <v>104</v>
      </c>
      <c r="C55" s="67" t="s">
        <v>106</v>
      </c>
      <c r="D55" s="68">
        <v>2</v>
      </c>
      <c r="E55" s="67" t="s">
        <v>89</v>
      </c>
      <c r="F55" s="150">
        <v>70353</v>
      </c>
      <c r="G55" s="69">
        <f t="shared" si="2"/>
        <v>140706</v>
      </c>
    </row>
    <row r="56" spans="1:7" ht="12.75" customHeight="1" x14ac:dyDescent="0.25">
      <c r="A56" s="25"/>
      <c r="B56" s="142" t="s">
        <v>91</v>
      </c>
      <c r="C56" s="67" t="s">
        <v>106</v>
      </c>
      <c r="D56" s="68">
        <v>1</v>
      </c>
      <c r="E56" s="67" t="s">
        <v>113</v>
      </c>
      <c r="F56" s="150">
        <v>21000</v>
      </c>
      <c r="G56" s="69">
        <f t="shared" si="2"/>
        <v>21000</v>
      </c>
    </row>
    <row r="57" spans="1:7" ht="12.75" customHeight="1" x14ac:dyDescent="0.25">
      <c r="A57" s="25"/>
      <c r="B57" s="142" t="s">
        <v>126</v>
      </c>
      <c r="C57" s="67" t="s">
        <v>33</v>
      </c>
      <c r="D57" s="68">
        <v>4</v>
      </c>
      <c r="E57" s="67" t="s">
        <v>113</v>
      </c>
      <c r="F57" s="150">
        <v>21840</v>
      </c>
      <c r="G57" s="69">
        <f t="shared" si="2"/>
        <v>87360</v>
      </c>
    </row>
    <row r="58" spans="1:7" ht="12.75" customHeight="1" x14ac:dyDescent="0.25">
      <c r="A58" s="25"/>
      <c r="B58" s="70" t="s">
        <v>32</v>
      </c>
      <c r="C58" s="71"/>
      <c r="D58" s="17"/>
      <c r="E58" s="71"/>
      <c r="F58" s="69"/>
      <c r="G58" s="69"/>
    </row>
    <row r="59" spans="1:7" ht="12.75" customHeight="1" x14ac:dyDescent="0.25">
      <c r="A59" s="25"/>
      <c r="B59" s="16" t="s">
        <v>92</v>
      </c>
      <c r="C59" s="67" t="s">
        <v>33</v>
      </c>
      <c r="D59" s="68">
        <v>1</v>
      </c>
      <c r="E59" s="67" t="s">
        <v>89</v>
      </c>
      <c r="F59" s="150">
        <v>17350</v>
      </c>
      <c r="G59" s="69">
        <f>(D59*F59)</f>
        <v>17350</v>
      </c>
    </row>
    <row r="60" spans="1:7" ht="12.75" customHeight="1" x14ac:dyDescent="0.25">
      <c r="A60" s="25"/>
      <c r="B60" s="16"/>
      <c r="C60" s="67"/>
      <c r="D60" s="68"/>
      <c r="E60" s="67"/>
      <c r="F60" s="69"/>
      <c r="G60" s="69"/>
    </row>
    <row r="61" spans="1:7" ht="12.75" customHeight="1" x14ac:dyDescent="0.25">
      <c r="A61" s="25"/>
      <c r="B61" s="70" t="s">
        <v>98</v>
      </c>
      <c r="C61" s="71"/>
      <c r="D61" s="17"/>
      <c r="E61" s="71"/>
      <c r="F61" s="69"/>
      <c r="G61" s="69"/>
    </row>
    <row r="62" spans="1:7" ht="12.75" customHeight="1" x14ac:dyDescent="0.25">
      <c r="A62" s="25"/>
      <c r="B62" s="148" t="s">
        <v>93</v>
      </c>
      <c r="C62" s="145" t="s">
        <v>107</v>
      </c>
      <c r="D62" s="146">
        <v>1</v>
      </c>
      <c r="E62" s="145" t="s">
        <v>89</v>
      </c>
      <c r="F62" s="151">
        <v>31178</v>
      </c>
      <c r="G62" s="147">
        <f t="shared" ref="G62:G72" si="3">+F62*D62</f>
        <v>31178</v>
      </c>
    </row>
    <row r="63" spans="1:7" ht="12.75" customHeight="1" x14ac:dyDescent="0.25">
      <c r="A63" s="25"/>
      <c r="B63" s="148" t="s">
        <v>94</v>
      </c>
      <c r="C63" s="145" t="s">
        <v>108</v>
      </c>
      <c r="D63" s="146">
        <v>1</v>
      </c>
      <c r="E63" s="145" t="s">
        <v>89</v>
      </c>
      <c r="F63" s="151">
        <f>32000*1.3</f>
        <v>41600</v>
      </c>
      <c r="G63" s="147">
        <f t="shared" si="3"/>
        <v>41600</v>
      </c>
    </row>
    <row r="64" spans="1:7" ht="12.75" customHeight="1" x14ac:dyDescent="0.25">
      <c r="A64" s="25"/>
      <c r="B64" s="148" t="s">
        <v>95</v>
      </c>
      <c r="C64" s="145" t="s">
        <v>127</v>
      </c>
      <c r="D64" s="146">
        <v>2</v>
      </c>
      <c r="E64" s="145" t="s">
        <v>89</v>
      </c>
      <c r="F64" s="151">
        <f>95010*1.19/4</f>
        <v>28265.474999999999</v>
      </c>
      <c r="G64" s="147">
        <f t="shared" si="3"/>
        <v>56530.95</v>
      </c>
    </row>
    <row r="65" spans="1:7" ht="12.75" customHeight="1" x14ac:dyDescent="0.25">
      <c r="A65" s="25"/>
      <c r="B65" s="148" t="s">
        <v>96</v>
      </c>
      <c r="C65" s="145" t="s">
        <v>109</v>
      </c>
      <c r="D65" s="146">
        <v>8</v>
      </c>
      <c r="E65" s="145" t="s">
        <v>89</v>
      </c>
      <c r="F65" s="151">
        <v>10400</v>
      </c>
      <c r="G65" s="147">
        <f t="shared" si="3"/>
        <v>83200</v>
      </c>
    </row>
    <row r="66" spans="1:7" ht="12.75" customHeight="1" x14ac:dyDescent="0.25">
      <c r="A66" s="25"/>
      <c r="B66" s="148" t="s">
        <v>97</v>
      </c>
      <c r="C66" s="145" t="s">
        <v>108</v>
      </c>
      <c r="D66" s="146">
        <v>1</v>
      </c>
      <c r="E66" s="145" t="s">
        <v>89</v>
      </c>
      <c r="F66" s="151">
        <v>104000</v>
      </c>
      <c r="G66" s="147">
        <f t="shared" si="3"/>
        <v>104000</v>
      </c>
    </row>
    <row r="67" spans="1:7" ht="12.75" customHeight="1" x14ac:dyDescent="0.25">
      <c r="A67" s="25"/>
      <c r="B67" s="148" t="s">
        <v>99</v>
      </c>
      <c r="C67" s="145" t="s">
        <v>110</v>
      </c>
      <c r="D67" s="146">
        <v>4</v>
      </c>
      <c r="E67" s="145" t="s">
        <v>89</v>
      </c>
      <c r="F67" s="151">
        <v>16250</v>
      </c>
      <c r="G67" s="147">
        <f t="shared" si="3"/>
        <v>65000</v>
      </c>
    </row>
    <row r="68" spans="1:7" ht="12.75" customHeight="1" x14ac:dyDescent="0.25">
      <c r="A68" s="25"/>
      <c r="B68" s="148" t="s">
        <v>100</v>
      </c>
      <c r="C68" s="145" t="s">
        <v>111</v>
      </c>
      <c r="D68" s="146">
        <v>2</v>
      </c>
      <c r="E68" s="145" t="s">
        <v>89</v>
      </c>
      <c r="F68" s="151">
        <v>17550</v>
      </c>
      <c r="G68" s="147">
        <f t="shared" si="3"/>
        <v>35100</v>
      </c>
    </row>
    <row r="69" spans="1:7" ht="12.75" customHeight="1" x14ac:dyDescent="0.25">
      <c r="A69" s="25"/>
      <c r="B69" s="148" t="s">
        <v>101</v>
      </c>
      <c r="C69" s="145" t="s">
        <v>107</v>
      </c>
      <c r="D69" s="146">
        <v>1</v>
      </c>
      <c r="E69" s="145" t="s">
        <v>89</v>
      </c>
      <c r="F69" s="151">
        <v>28600</v>
      </c>
      <c r="G69" s="147">
        <f t="shared" si="3"/>
        <v>28600</v>
      </c>
    </row>
    <row r="70" spans="1:7" ht="12.75" customHeight="1" x14ac:dyDescent="0.25">
      <c r="A70" s="25"/>
      <c r="B70" s="148" t="s">
        <v>102</v>
      </c>
      <c r="C70" s="145" t="s">
        <v>107</v>
      </c>
      <c r="D70" s="146">
        <v>0.5</v>
      </c>
      <c r="E70" s="145" t="s">
        <v>89</v>
      </c>
      <c r="F70" s="151">
        <v>84500</v>
      </c>
      <c r="G70" s="147">
        <f t="shared" si="3"/>
        <v>42250</v>
      </c>
    </row>
    <row r="71" spans="1:7" ht="12.75" customHeight="1" x14ac:dyDescent="0.25">
      <c r="A71" s="25"/>
      <c r="B71" s="148" t="s">
        <v>103</v>
      </c>
      <c r="C71" s="145" t="s">
        <v>108</v>
      </c>
      <c r="D71" s="146">
        <v>1</v>
      </c>
      <c r="E71" s="145" t="s">
        <v>89</v>
      </c>
      <c r="F71" s="151">
        <v>28600</v>
      </c>
      <c r="G71" s="147">
        <f t="shared" si="3"/>
        <v>28600</v>
      </c>
    </row>
    <row r="72" spans="1:7" ht="12.75" customHeight="1" x14ac:dyDescent="0.25">
      <c r="A72" s="25"/>
      <c r="B72" s="72" t="s">
        <v>128</v>
      </c>
      <c r="C72" s="73" t="s">
        <v>107</v>
      </c>
      <c r="D72" s="74">
        <v>1</v>
      </c>
      <c r="E72" s="73" t="s">
        <v>89</v>
      </c>
      <c r="F72" s="152">
        <v>87996.454000000012</v>
      </c>
      <c r="G72" s="75">
        <f t="shared" si="3"/>
        <v>87996.454000000012</v>
      </c>
    </row>
    <row r="73" spans="1:7" ht="13.5" customHeight="1" x14ac:dyDescent="0.25">
      <c r="A73" s="5"/>
      <c r="B73" s="76" t="s">
        <v>34</v>
      </c>
      <c r="C73" s="77"/>
      <c r="D73" s="77"/>
      <c r="E73" s="77"/>
      <c r="F73" s="78"/>
      <c r="G73" s="79">
        <f>SUM(G44:G72)</f>
        <v>6132223.6239999998</v>
      </c>
    </row>
    <row r="74" spans="1:7" ht="12" customHeight="1" x14ac:dyDescent="0.25">
      <c r="A74" s="2"/>
      <c r="B74" s="51"/>
      <c r="C74" s="52"/>
      <c r="D74" s="52"/>
      <c r="E74" s="80"/>
      <c r="F74" s="53"/>
      <c r="G74" s="53"/>
    </row>
    <row r="75" spans="1:7" ht="12" customHeight="1" x14ac:dyDescent="0.25">
      <c r="A75" s="5"/>
      <c r="B75" s="40" t="s">
        <v>35</v>
      </c>
      <c r="C75" s="41"/>
      <c r="D75" s="42"/>
      <c r="E75" s="42"/>
      <c r="F75" s="43"/>
      <c r="G75" s="43"/>
    </row>
    <row r="76" spans="1:7" ht="24" customHeight="1" x14ac:dyDescent="0.25">
      <c r="A76" s="5"/>
      <c r="B76" s="54" t="s">
        <v>36</v>
      </c>
      <c r="C76" s="55" t="s">
        <v>27</v>
      </c>
      <c r="D76" s="55" t="s">
        <v>28</v>
      </c>
      <c r="E76" s="54" t="s">
        <v>17</v>
      </c>
      <c r="F76" s="55" t="s">
        <v>18</v>
      </c>
      <c r="G76" s="54" t="s">
        <v>19</v>
      </c>
    </row>
    <row r="77" spans="1:7" ht="12.75" customHeight="1" x14ac:dyDescent="0.25">
      <c r="A77" s="25"/>
      <c r="B77" s="144" t="s">
        <v>129</v>
      </c>
      <c r="C77" s="67" t="s">
        <v>130</v>
      </c>
      <c r="D77" s="81">
        <v>1</v>
      </c>
      <c r="E77" s="33" t="s">
        <v>113</v>
      </c>
      <c r="F77" s="153">
        <v>47000</v>
      </c>
      <c r="G77" s="69">
        <f t="shared" ref="G77:G81" si="4">+F77*D77</f>
        <v>47000</v>
      </c>
    </row>
    <row r="78" spans="1:7" ht="20.45" customHeight="1" x14ac:dyDescent="0.25">
      <c r="A78" s="25"/>
      <c r="B78" s="144" t="s">
        <v>131</v>
      </c>
      <c r="C78" s="67" t="s">
        <v>132</v>
      </c>
      <c r="D78" s="81">
        <v>1.5</v>
      </c>
      <c r="E78" s="33" t="s">
        <v>133</v>
      </c>
      <c r="F78" s="153">
        <v>300000</v>
      </c>
      <c r="G78" s="69">
        <f>+F78*D78</f>
        <v>450000</v>
      </c>
    </row>
    <row r="79" spans="1:7" ht="12.75" customHeight="1" x14ac:dyDescent="0.25">
      <c r="A79" s="25"/>
      <c r="B79" s="144" t="s">
        <v>134</v>
      </c>
      <c r="C79" s="67" t="s">
        <v>135</v>
      </c>
      <c r="D79" s="81">
        <v>0.5</v>
      </c>
      <c r="E79" s="33" t="s">
        <v>133</v>
      </c>
      <c r="F79" s="153">
        <v>32000</v>
      </c>
      <c r="G79" s="69">
        <f t="shared" si="4"/>
        <v>16000</v>
      </c>
    </row>
    <row r="80" spans="1:7" ht="16.899999999999999" customHeight="1" x14ac:dyDescent="0.25">
      <c r="A80" s="25"/>
      <c r="B80" s="144" t="s">
        <v>136</v>
      </c>
      <c r="C80" s="67" t="s">
        <v>137</v>
      </c>
      <c r="D80" s="69">
        <f>32*4*4*5</f>
        <v>2560</v>
      </c>
      <c r="E80" s="33" t="s">
        <v>133</v>
      </c>
      <c r="F80" s="153">
        <v>71</v>
      </c>
      <c r="G80" s="69">
        <f t="shared" si="4"/>
        <v>181760</v>
      </c>
    </row>
    <row r="81" spans="1:8" ht="12.75" customHeight="1" x14ac:dyDescent="0.25">
      <c r="A81" s="25"/>
      <c r="B81" s="144" t="s">
        <v>138</v>
      </c>
      <c r="C81" s="67" t="s">
        <v>139</v>
      </c>
      <c r="D81" s="69">
        <v>12</v>
      </c>
      <c r="E81" s="33" t="s">
        <v>113</v>
      </c>
      <c r="F81" s="153">
        <f>150000/40*5</f>
        <v>18750</v>
      </c>
      <c r="G81" s="69">
        <f t="shared" si="4"/>
        <v>225000</v>
      </c>
    </row>
    <row r="82" spans="1:8" ht="25.15" customHeight="1" x14ac:dyDescent="0.25">
      <c r="A82" s="25"/>
      <c r="B82" s="12" t="s">
        <v>80</v>
      </c>
      <c r="C82" s="67" t="s">
        <v>81</v>
      </c>
      <c r="D82" s="69">
        <v>40</v>
      </c>
      <c r="E82" s="33" t="s">
        <v>82</v>
      </c>
      <c r="F82" s="153">
        <f>5000*1.3</f>
        <v>6500</v>
      </c>
      <c r="G82" s="69">
        <f>(D82*F82)</f>
        <v>260000</v>
      </c>
    </row>
    <row r="83" spans="1:8" ht="12.75" customHeight="1" x14ac:dyDescent="0.25">
      <c r="A83" s="25"/>
      <c r="B83" s="144" t="s">
        <v>105</v>
      </c>
      <c r="C83" s="67" t="s">
        <v>112</v>
      </c>
      <c r="D83" s="69">
        <v>1</v>
      </c>
      <c r="E83" s="33" t="s">
        <v>113</v>
      </c>
      <c r="F83" s="153">
        <v>480000</v>
      </c>
      <c r="G83" s="69">
        <f>+F83*D83</f>
        <v>480000</v>
      </c>
    </row>
    <row r="84" spans="1:8" ht="13.5" customHeight="1" x14ac:dyDescent="0.25">
      <c r="A84" s="5"/>
      <c r="B84" s="82" t="s">
        <v>37</v>
      </c>
      <c r="C84" s="83"/>
      <c r="D84" s="83"/>
      <c r="E84" s="83"/>
      <c r="F84" s="84"/>
      <c r="G84" s="85">
        <f>SUM(G77:G83)</f>
        <v>1659760</v>
      </c>
    </row>
    <row r="85" spans="1:8" ht="12" customHeight="1" x14ac:dyDescent="0.25">
      <c r="A85" s="2"/>
      <c r="B85" s="102"/>
      <c r="C85" s="102"/>
      <c r="D85" s="102"/>
      <c r="E85" s="102"/>
      <c r="F85" s="103"/>
      <c r="G85" s="103"/>
    </row>
    <row r="86" spans="1:8" ht="12" customHeight="1" x14ac:dyDescent="0.25">
      <c r="A86" s="99"/>
      <c r="B86" s="104" t="s">
        <v>38</v>
      </c>
      <c r="C86" s="105"/>
      <c r="D86" s="105"/>
      <c r="E86" s="105"/>
      <c r="F86" s="105"/>
      <c r="G86" s="106">
        <f>G29+G40+G73+G84</f>
        <v>14067303.624</v>
      </c>
    </row>
    <row r="87" spans="1:8" ht="12" customHeight="1" x14ac:dyDescent="0.25">
      <c r="A87" s="99"/>
      <c r="B87" s="107" t="s">
        <v>39</v>
      </c>
      <c r="C87" s="87"/>
      <c r="D87" s="87"/>
      <c r="E87" s="87"/>
      <c r="F87" s="87"/>
      <c r="G87" s="108">
        <f>G86*0.05</f>
        <v>703365.18119999999</v>
      </c>
    </row>
    <row r="88" spans="1:8" ht="12" customHeight="1" x14ac:dyDescent="0.25">
      <c r="A88" s="99"/>
      <c r="B88" s="109" t="s">
        <v>40</v>
      </c>
      <c r="C88" s="86"/>
      <c r="D88" s="86"/>
      <c r="E88" s="86"/>
      <c r="F88" s="86"/>
      <c r="G88" s="110">
        <f>G87+G86</f>
        <v>14770668.805199999</v>
      </c>
    </row>
    <row r="89" spans="1:8" ht="12" customHeight="1" x14ac:dyDescent="0.25">
      <c r="A89" s="99"/>
      <c r="B89" s="107" t="s">
        <v>41</v>
      </c>
      <c r="C89" s="87"/>
      <c r="D89" s="87"/>
      <c r="E89" s="87"/>
      <c r="F89" s="87"/>
      <c r="G89" s="108">
        <f>G12</f>
        <v>21600000</v>
      </c>
    </row>
    <row r="90" spans="1:8" ht="12" customHeight="1" x14ac:dyDescent="0.25">
      <c r="A90" s="99"/>
      <c r="B90" s="111" t="s">
        <v>42</v>
      </c>
      <c r="C90" s="112"/>
      <c r="D90" s="112"/>
      <c r="E90" s="112"/>
      <c r="F90" s="112"/>
      <c r="G90" s="113">
        <f>G89-G88</f>
        <v>6829331.1948000006</v>
      </c>
      <c r="H90" s="149"/>
    </row>
    <row r="91" spans="1:8" ht="12" customHeight="1" x14ac:dyDescent="0.25">
      <c r="A91" s="99"/>
      <c r="B91" s="100" t="s">
        <v>43</v>
      </c>
      <c r="C91" s="101"/>
      <c r="D91" s="101"/>
      <c r="E91" s="101"/>
      <c r="F91" s="101"/>
      <c r="G91" s="96"/>
    </row>
    <row r="92" spans="1:8" ht="12.75" customHeight="1" thickBot="1" x14ac:dyDescent="0.3">
      <c r="A92" s="99"/>
      <c r="B92" s="114"/>
      <c r="C92" s="101"/>
      <c r="D92" s="101"/>
      <c r="E92" s="101"/>
      <c r="F92" s="101"/>
      <c r="G92" s="96"/>
    </row>
    <row r="93" spans="1:8" ht="12" customHeight="1" x14ac:dyDescent="0.25">
      <c r="A93" s="99"/>
      <c r="B93" s="126" t="s">
        <v>44</v>
      </c>
      <c r="C93" s="127"/>
      <c r="D93" s="127"/>
      <c r="E93" s="127"/>
      <c r="F93" s="128"/>
      <c r="G93" s="96"/>
    </row>
    <row r="94" spans="1:8" ht="12" customHeight="1" x14ac:dyDescent="0.25">
      <c r="A94" s="99"/>
      <c r="B94" s="129" t="s">
        <v>45</v>
      </c>
      <c r="C94" s="98"/>
      <c r="D94" s="98"/>
      <c r="E94" s="98"/>
      <c r="F94" s="130"/>
      <c r="G94" s="96"/>
    </row>
    <row r="95" spans="1:8" ht="12" customHeight="1" x14ac:dyDescent="0.25">
      <c r="A95" s="99"/>
      <c r="B95" s="129" t="s">
        <v>46</v>
      </c>
      <c r="C95" s="98"/>
      <c r="D95" s="98"/>
      <c r="E95" s="98"/>
      <c r="F95" s="130"/>
      <c r="G95" s="96"/>
    </row>
    <row r="96" spans="1:8" ht="12" customHeight="1" x14ac:dyDescent="0.25">
      <c r="A96" s="99"/>
      <c r="B96" s="129" t="s">
        <v>47</v>
      </c>
      <c r="C96" s="98"/>
      <c r="D96" s="98"/>
      <c r="E96" s="98"/>
      <c r="F96" s="130"/>
      <c r="G96" s="96"/>
    </row>
    <row r="97" spans="1:7" ht="12" customHeight="1" x14ac:dyDescent="0.25">
      <c r="A97" s="99"/>
      <c r="B97" s="129" t="s">
        <v>48</v>
      </c>
      <c r="C97" s="98"/>
      <c r="D97" s="98"/>
      <c r="E97" s="98"/>
      <c r="F97" s="130"/>
      <c r="G97" s="96"/>
    </row>
    <row r="98" spans="1:7" ht="12" customHeight="1" x14ac:dyDescent="0.25">
      <c r="A98" s="99"/>
      <c r="B98" s="129" t="s">
        <v>49</v>
      </c>
      <c r="C98" s="98"/>
      <c r="D98" s="98"/>
      <c r="E98" s="98"/>
      <c r="F98" s="130"/>
      <c r="G98" s="96"/>
    </row>
    <row r="99" spans="1:7" ht="12.75" customHeight="1" thickBot="1" x14ac:dyDescent="0.3">
      <c r="A99" s="99"/>
      <c r="B99" s="131" t="s">
        <v>50</v>
      </c>
      <c r="C99" s="132"/>
      <c r="D99" s="132"/>
      <c r="E99" s="132"/>
      <c r="F99" s="133"/>
      <c r="G99" s="96"/>
    </row>
    <row r="100" spans="1:7" ht="12.75" customHeight="1" x14ac:dyDescent="0.25">
      <c r="A100" s="99"/>
      <c r="B100" s="124"/>
      <c r="C100" s="98"/>
      <c r="D100" s="98"/>
      <c r="E100" s="98"/>
      <c r="F100" s="98"/>
      <c r="G100" s="96"/>
    </row>
    <row r="101" spans="1:7" ht="15" customHeight="1" thickBot="1" x14ac:dyDescent="0.3">
      <c r="A101" s="99"/>
      <c r="B101" s="310" t="s">
        <v>51</v>
      </c>
      <c r="C101" s="311"/>
      <c r="D101" s="123"/>
      <c r="E101" s="89"/>
      <c r="F101" s="89"/>
      <c r="G101" s="96"/>
    </row>
    <row r="102" spans="1:7" ht="12" customHeight="1" x14ac:dyDescent="0.25">
      <c r="A102" s="99"/>
      <c r="B102" s="116" t="s">
        <v>36</v>
      </c>
      <c r="C102" s="90" t="s">
        <v>140</v>
      </c>
      <c r="D102" s="117" t="s">
        <v>52</v>
      </c>
      <c r="E102" s="89"/>
      <c r="F102" s="89"/>
      <c r="G102" s="96"/>
    </row>
    <row r="103" spans="1:7" ht="12" customHeight="1" x14ac:dyDescent="0.25">
      <c r="A103" s="99"/>
      <c r="B103" s="118" t="s">
        <v>53</v>
      </c>
      <c r="C103" s="91">
        <f>+G29</f>
        <v>6175000</v>
      </c>
      <c r="D103" s="119">
        <f>(C103/C109)</f>
        <v>0.4180582532475508</v>
      </c>
      <c r="E103" s="89"/>
      <c r="F103" s="89"/>
      <c r="G103" s="96"/>
    </row>
    <row r="104" spans="1:7" ht="12" customHeight="1" x14ac:dyDescent="0.25">
      <c r="A104" s="99"/>
      <c r="B104" s="118" t="s">
        <v>54</v>
      </c>
      <c r="C104" s="92">
        <v>0</v>
      </c>
      <c r="D104" s="119">
        <v>0</v>
      </c>
      <c r="E104" s="89"/>
      <c r="F104" s="89"/>
      <c r="G104" s="96"/>
    </row>
    <row r="105" spans="1:7" ht="12" customHeight="1" x14ac:dyDescent="0.25">
      <c r="A105" s="99"/>
      <c r="B105" s="118" t="s">
        <v>55</v>
      </c>
      <c r="C105" s="91">
        <f>+G40</f>
        <v>100319.99999999999</v>
      </c>
      <c r="D105" s="119">
        <f>(C105/C109)</f>
        <v>6.7918386989140548E-3</v>
      </c>
      <c r="E105" s="89"/>
      <c r="F105" s="89"/>
      <c r="G105" s="96"/>
    </row>
    <row r="106" spans="1:7" ht="12" customHeight="1" x14ac:dyDescent="0.25">
      <c r="A106" s="99"/>
      <c r="B106" s="118" t="s">
        <v>26</v>
      </c>
      <c r="C106" s="91">
        <f>+G73</f>
        <v>6132223.6239999998</v>
      </c>
      <c r="D106" s="119">
        <f>(C106/C109)</f>
        <v>0.41516221810085924</v>
      </c>
      <c r="E106" s="89"/>
      <c r="F106" s="89"/>
      <c r="G106" s="96"/>
    </row>
    <row r="107" spans="1:7" ht="12" customHeight="1" x14ac:dyDescent="0.25">
      <c r="A107" s="99"/>
      <c r="B107" s="118" t="s">
        <v>56</v>
      </c>
      <c r="C107" s="93">
        <f>+G84</f>
        <v>1659760</v>
      </c>
      <c r="D107" s="119">
        <f>(C107/C109)</f>
        <v>0.11236864233362832</v>
      </c>
      <c r="E107" s="95"/>
      <c r="F107" s="95"/>
      <c r="G107" s="96"/>
    </row>
    <row r="108" spans="1:7" ht="12" customHeight="1" x14ac:dyDescent="0.25">
      <c r="A108" s="99"/>
      <c r="B108" s="118" t="s">
        <v>57</v>
      </c>
      <c r="C108" s="93">
        <f>+G87</f>
        <v>703365.18119999999</v>
      </c>
      <c r="D108" s="119">
        <f>(C108/C109)</f>
        <v>4.7619047619047623E-2</v>
      </c>
      <c r="E108" s="95"/>
      <c r="F108" s="95"/>
      <c r="G108" s="96"/>
    </row>
    <row r="109" spans="1:7" ht="12.75" customHeight="1" thickBot="1" x14ac:dyDescent="0.3">
      <c r="A109" s="99"/>
      <c r="B109" s="120" t="s">
        <v>58</v>
      </c>
      <c r="C109" s="121">
        <f>SUM(C103:C108)</f>
        <v>14770668.805199999</v>
      </c>
      <c r="D109" s="122">
        <f>SUM(D103:D108)</f>
        <v>1</v>
      </c>
      <c r="E109" s="95"/>
      <c r="F109" s="95"/>
      <c r="G109" s="96"/>
    </row>
    <row r="110" spans="1:7" ht="12" customHeight="1" x14ac:dyDescent="0.25">
      <c r="A110" s="99"/>
      <c r="B110" s="114"/>
      <c r="C110" s="101"/>
      <c r="D110" s="101"/>
      <c r="E110" s="101"/>
      <c r="F110" s="101"/>
      <c r="G110" s="96"/>
    </row>
    <row r="111" spans="1:7" ht="12.75" customHeight="1" x14ac:dyDescent="0.25">
      <c r="A111" s="99"/>
      <c r="B111" s="115"/>
      <c r="C111" s="101"/>
      <c r="D111" s="101"/>
      <c r="E111" s="101"/>
      <c r="F111" s="101"/>
      <c r="G111" s="96"/>
    </row>
    <row r="112" spans="1:7" ht="12" customHeight="1" thickBot="1" x14ac:dyDescent="0.3">
      <c r="A112" s="88"/>
      <c r="B112" s="135"/>
      <c r="C112" s="136" t="s">
        <v>141</v>
      </c>
      <c r="D112" s="137"/>
      <c r="E112" s="138"/>
      <c r="F112" s="94"/>
      <c r="G112" s="96"/>
    </row>
    <row r="113" spans="1:7" ht="12" customHeight="1" x14ac:dyDescent="0.25">
      <c r="A113" s="99"/>
      <c r="B113" s="139" t="s">
        <v>142</v>
      </c>
      <c r="C113" s="154">
        <f>18*4000</f>
        <v>72000</v>
      </c>
      <c r="D113" s="154">
        <f>24*4000</f>
        <v>96000</v>
      </c>
      <c r="E113" s="155">
        <f>30*4000</f>
        <v>120000</v>
      </c>
      <c r="F113" s="134"/>
      <c r="G113" s="97"/>
    </row>
    <row r="114" spans="1:7" ht="12.75" customHeight="1" thickBot="1" x14ac:dyDescent="0.3">
      <c r="A114" s="99"/>
      <c r="B114" s="120" t="s">
        <v>114</v>
      </c>
      <c r="C114" s="121">
        <f>(G88/C113)</f>
        <v>205.14817785</v>
      </c>
      <c r="D114" s="121">
        <f>(G88/D113)</f>
        <v>153.86113338749999</v>
      </c>
      <c r="E114" s="140">
        <f>(G88/E113)</f>
        <v>123.08890670999999</v>
      </c>
      <c r="F114" s="134"/>
      <c r="G114" s="97"/>
    </row>
    <row r="115" spans="1:7" ht="15.6" customHeight="1" x14ac:dyDescent="0.25">
      <c r="A115" s="99"/>
      <c r="B115" s="125" t="s">
        <v>59</v>
      </c>
      <c r="C115" s="98"/>
      <c r="D115" s="98"/>
      <c r="E115" s="98"/>
      <c r="F115" s="98"/>
      <c r="G115" s="98"/>
    </row>
  </sheetData>
  <mergeCells count="8">
    <mergeCell ref="B101:C10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M116"/>
  <sheetViews>
    <sheetView tabSelected="1" zoomScale="110" zoomScaleNormal="110" workbookViewId="0">
      <selection activeCell="H112" sqref="H112"/>
    </sheetView>
  </sheetViews>
  <sheetFormatPr baseColWidth="10" defaultColWidth="10.85546875" defaultRowHeight="11.25" customHeight="1" x14ac:dyDescent="0.25"/>
  <cols>
    <col min="1" max="1" width="4.42578125" style="158" customWidth="1"/>
    <col min="2" max="2" width="18" style="158" customWidth="1"/>
    <col min="3" max="3" width="19.42578125" style="158" customWidth="1"/>
    <col min="4" max="4" width="9.42578125" style="158" customWidth="1"/>
    <col min="5" max="5" width="14.42578125" style="158" customWidth="1"/>
    <col min="6" max="6" width="11" style="158" customWidth="1"/>
    <col min="7" max="7" width="12.42578125" style="158" customWidth="1"/>
    <col min="8" max="8" width="12" style="158" bestFit="1" customWidth="1"/>
    <col min="9" max="247" width="10.85546875" style="158" customWidth="1"/>
    <col min="248" max="16384" width="10.85546875" style="159"/>
  </cols>
  <sheetData>
    <row r="1" spans="1:7" ht="15" customHeight="1" x14ac:dyDescent="0.25">
      <c r="A1" s="157"/>
      <c r="B1" s="157"/>
      <c r="C1" s="157"/>
      <c r="D1" s="157"/>
      <c r="E1" s="157"/>
      <c r="F1" s="157"/>
      <c r="G1" s="157"/>
    </row>
    <row r="2" spans="1:7" ht="15" customHeight="1" x14ac:dyDescent="0.25">
      <c r="A2" s="157"/>
      <c r="B2" s="157"/>
      <c r="C2" s="157"/>
      <c r="D2" s="157"/>
      <c r="E2" s="157"/>
      <c r="F2" s="157"/>
      <c r="G2" s="157"/>
    </row>
    <row r="3" spans="1:7" ht="15" customHeight="1" x14ac:dyDescent="0.25">
      <c r="A3" s="157"/>
      <c r="B3" s="157"/>
      <c r="C3" s="157"/>
      <c r="D3" s="157"/>
      <c r="E3" s="157"/>
      <c r="F3" s="157"/>
      <c r="G3" s="157"/>
    </row>
    <row r="4" spans="1:7" ht="15" customHeight="1" x14ac:dyDescent="0.25">
      <c r="A4" s="157"/>
      <c r="B4" s="157"/>
      <c r="C4" s="157"/>
      <c r="D4" s="157"/>
      <c r="E4" s="157"/>
      <c r="F4" s="157"/>
      <c r="G4" s="157"/>
    </row>
    <row r="5" spans="1:7" ht="15" customHeight="1" x14ac:dyDescent="0.25">
      <c r="A5" s="157"/>
      <c r="B5" s="157"/>
      <c r="C5" s="157"/>
      <c r="D5" s="157"/>
      <c r="E5" s="157"/>
      <c r="F5" s="157"/>
      <c r="G5" s="157"/>
    </row>
    <row r="6" spans="1:7" ht="15" customHeight="1" x14ac:dyDescent="0.25">
      <c r="A6" s="157"/>
      <c r="B6" s="157"/>
      <c r="C6" s="157"/>
      <c r="D6" s="157"/>
      <c r="E6" s="157"/>
      <c r="F6" s="157"/>
      <c r="G6" s="157"/>
    </row>
    <row r="7" spans="1:7" ht="15" customHeight="1" x14ac:dyDescent="0.25">
      <c r="A7" s="157"/>
      <c r="B7" s="157"/>
      <c r="C7" s="157"/>
      <c r="D7" s="157"/>
      <c r="E7" s="157"/>
      <c r="F7" s="157"/>
      <c r="G7" s="157"/>
    </row>
    <row r="8" spans="1:7" ht="15" customHeight="1" x14ac:dyDescent="0.25">
      <c r="A8" s="157"/>
      <c r="B8" s="160"/>
      <c r="C8" s="161"/>
      <c r="D8" s="157"/>
      <c r="E8" s="161"/>
      <c r="F8" s="161"/>
      <c r="G8" s="161"/>
    </row>
    <row r="9" spans="1:7" ht="12" customHeight="1" x14ac:dyDescent="0.25">
      <c r="A9" s="162"/>
      <c r="B9" s="163" t="s">
        <v>0</v>
      </c>
      <c r="C9" s="164" t="s">
        <v>61</v>
      </c>
      <c r="D9" s="165"/>
      <c r="E9" s="314" t="s">
        <v>142</v>
      </c>
      <c r="F9" s="315"/>
      <c r="G9" s="309">
        <v>72000</v>
      </c>
    </row>
    <row r="10" spans="1:7" ht="38.25" customHeight="1" x14ac:dyDescent="0.25">
      <c r="A10" s="162"/>
      <c r="B10" s="166" t="s">
        <v>1</v>
      </c>
      <c r="C10" s="167" t="s">
        <v>62</v>
      </c>
      <c r="D10" s="168"/>
      <c r="E10" s="324" t="s">
        <v>2</v>
      </c>
      <c r="F10" s="325"/>
      <c r="G10" s="169" t="s">
        <v>64</v>
      </c>
    </row>
    <row r="11" spans="1:7" ht="18" customHeight="1" x14ac:dyDescent="0.25">
      <c r="A11" s="162"/>
      <c r="B11" s="166" t="s">
        <v>3</v>
      </c>
      <c r="C11" s="169" t="s">
        <v>4</v>
      </c>
      <c r="D11" s="168"/>
      <c r="E11" s="324" t="s">
        <v>65</v>
      </c>
      <c r="F11" s="325"/>
      <c r="G11" s="170">
        <v>400</v>
      </c>
    </row>
    <row r="12" spans="1:7" ht="16.899999999999999" customHeight="1" x14ac:dyDescent="0.25">
      <c r="A12" s="162"/>
      <c r="B12" s="166" t="s">
        <v>5</v>
      </c>
      <c r="C12" s="171" t="s">
        <v>63</v>
      </c>
      <c r="D12" s="168"/>
      <c r="E12" s="172" t="s">
        <v>6</v>
      </c>
      <c r="F12" s="173"/>
      <c r="G12" s="174">
        <f>G11*G9</f>
        <v>28800000</v>
      </c>
    </row>
    <row r="13" spans="1:7" ht="11.25" customHeight="1" x14ac:dyDescent="0.25">
      <c r="A13" s="162"/>
      <c r="B13" s="166" t="s">
        <v>7</v>
      </c>
      <c r="C13" s="169" t="s">
        <v>145</v>
      </c>
      <c r="D13" s="168"/>
      <c r="E13" s="324" t="s">
        <v>8</v>
      </c>
      <c r="F13" s="325"/>
      <c r="G13" s="169" t="s">
        <v>66</v>
      </c>
    </row>
    <row r="14" spans="1:7" ht="13.5" customHeight="1" x14ac:dyDescent="0.25">
      <c r="A14" s="162"/>
      <c r="B14" s="166" t="s">
        <v>9</v>
      </c>
      <c r="C14" s="169" t="s">
        <v>146</v>
      </c>
      <c r="D14" s="168"/>
      <c r="E14" s="324" t="s">
        <v>10</v>
      </c>
      <c r="F14" s="325"/>
      <c r="G14" s="169" t="s">
        <v>67</v>
      </c>
    </row>
    <row r="15" spans="1:7" ht="25.5" customHeight="1" x14ac:dyDescent="0.25">
      <c r="A15" s="162"/>
      <c r="B15" s="166" t="s">
        <v>11</v>
      </c>
      <c r="C15" s="175">
        <v>44727</v>
      </c>
      <c r="D15" s="168"/>
      <c r="E15" s="326" t="s">
        <v>12</v>
      </c>
      <c r="F15" s="327"/>
      <c r="G15" s="171" t="s">
        <v>147</v>
      </c>
    </row>
    <row r="16" spans="1:7" ht="12" customHeight="1" x14ac:dyDescent="0.25">
      <c r="A16" s="157"/>
      <c r="B16" s="176"/>
      <c r="C16" s="177"/>
      <c r="D16" s="178"/>
      <c r="E16" s="179"/>
      <c r="F16" s="179"/>
      <c r="G16" s="180"/>
    </row>
    <row r="17" spans="1:7" ht="12" customHeight="1" x14ac:dyDescent="0.25">
      <c r="A17" s="181"/>
      <c r="B17" s="320" t="s">
        <v>73</v>
      </c>
      <c r="C17" s="321"/>
      <c r="D17" s="321"/>
      <c r="E17" s="321"/>
      <c r="F17" s="321"/>
      <c r="G17" s="321"/>
    </row>
    <row r="18" spans="1:7" ht="12" customHeight="1" x14ac:dyDescent="0.25">
      <c r="A18" s="157"/>
      <c r="B18" s="182"/>
      <c r="C18" s="183"/>
      <c r="D18" s="183"/>
      <c r="E18" s="183"/>
      <c r="F18" s="184"/>
      <c r="G18" s="184"/>
    </row>
    <row r="19" spans="1:7" ht="12" customHeight="1" x14ac:dyDescent="0.25">
      <c r="A19" s="162"/>
      <c r="B19" s="185" t="s">
        <v>13</v>
      </c>
      <c r="C19" s="186"/>
      <c r="D19" s="187"/>
      <c r="E19" s="187"/>
      <c r="F19" s="187"/>
      <c r="G19" s="187"/>
    </row>
    <row r="20" spans="1:7" ht="24" customHeight="1" x14ac:dyDescent="0.25">
      <c r="A20" s="181"/>
      <c r="B20" s="188" t="s">
        <v>14</v>
      </c>
      <c r="C20" s="188" t="s">
        <v>15</v>
      </c>
      <c r="D20" s="188" t="s">
        <v>16</v>
      </c>
      <c r="E20" s="188" t="s">
        <v>17</v>
      </c>
      <c r="F20" s="188" t="s">
        <v>18</v>
      </c>
      <c r="G20" s="188" t="s">
        <v>19</v>
      </c>
    </row>
    <row r="21" spans="1:7" ht="12.75" customHeight="1" x14ac:dyDescent="0.25">
      <c r="A21" s="181"/>
      <c r="B21" s="189" t="s">
        <v>85</v>
      </c>
      <c r="C21" s="190" t="s">
        <v>74</v>
      </c>
      <c r="D21" s="191">
        <v>4</v>
      </c>
      <c r="E21" s="189" t="s">
        <v>72</v>
      </c>
      <c r="F21" s="174">
        <v>25000</v>
      </c>
      <c r="G21" s="174">
        <f t="shared" ref="G21:G28" si="0">+F21*D21</f>
        <v>100000</v>
      </c>
    </row>
    <row r="22" spans="1:7" ht="12.75" customHeight="1" x14ac:dyDescent="0.25">
      <c r="A22" s="181"/>
      <c r="B22" s="189" t="s">
        <v>75</v>
      </c>
      <c r="C22" s="190" t="s">
        <v>74</v>
      </c>
      <c r="D22" s="191">
        <v>1</v>
      </c>
      <c r="E22" s="189" t="s">
        <v>76</v>
      </c>
      <c r="F22" s="174">
        <v>25000</v>
      </c>
      <c r="G22" s="174">
        <f t="shared" si="0"/>
        <v>25000</v>
      </c>
    </row>
    <row r="23" spans="1:7" ht="12.75" customHeight="1" x14ac:dyDescent="0.25">
      <c r="A23" s="181"/>
      <c r="B23" s="189" t="s">
        <v>77</v>
      </c>
      <c r="C23" s="190" t="s">
        <v>74</v>
      </c>
      <c r="D23" s="191">
        <f>1*4*12</f>
        <v>48</v>
      </c>
      <c r="E23" s="189" t="s">
        <v>67</v>
      </c>
      <c r="F23" s="174">
        <v>25000</v>
      </c>
      <c r="G23" s="174">
        <f t="shared" si="0"/>
        <v>1200000</v>
      </c>
    </row>
    <row r="24" spans="1:7" ht="12.75" customHeight="1" x14ac:dyDescent="0.25">
      <c r="A24" s="181"/>
      <c r="B24" s="189" t="s">
        <v>69</v>
      </c>
      <c r="C24" s="190" t="s">
        <v>74</v>
      </c>
      <c r="D24" s="191">
        <f>0.5*4*12</f>
        <v>24</v>
      </c>
      <c r="E24" s="189" t="s">
        <v>67</v>
      </c>
      <c r="F24" s="174">
        <v>25000</v>
      </c>
      <c r="G24" s="174">
        <f t="shared" si="0"/>
        <v>600000</v>
      </c>
    </row>
    <row r="25" spans="1:7" ht="12.75" customHeight="1" x14ac:dyDescent="0.25">
      <c r="A25" s="181"/>
      <c r="B25" s="189" t="s">
        <v>70</v>
      </c>
      <c r="C25" s="190" t="s">
        <v>74</v>
      </c>
      <c r="D25" s="191">
        <v>12</v>
      </c>
      <c r="E25" s="189" t="s">
        <v>67</v>
      </c>
      <c r="F25" s="174">
        <v>25000</v>
      </c>
      <c r="G25" s="174">
        <f t="shared" si="0"/>
        <v>300000</v>
      </c>
    </row>
    <row r="26" spans="1:7" ht="12.75" customHeight="1" x14ac:dyDescent="0.25">
      <c r="A26" s="181"/>
      <c r="B26" s="189" t="s">
        <v>78</v>
      </c>
      <c r="C26" s="190" t="s">
        <v>74</v>
      </c>
      <c r="D26" s="191">
        <f>2*4*12</f>
        <v>96</v>
      </c>
      <c r="E26" s="189" t="s">
        <v>67</v>
      </c>
      <c r="F26" s="174">
        <v>25000</v>
      </c>
      <c r="G26" s="174">
        <f t="shared" si="0"/>
        <v>2400000</v>
      </c>
    </row>
    <row r="27" spans="1:7" ht="12.75" customHeight="1" x14ac:dyDescent="0.25">
      <c r="A27" s="181"/>
      <c r="B27" s="189" t="s">
        <v>79</v>
      </c>
      <c r="C27" s="190" t="s">
        <v>74</v>
      </c>
      <c r="D27" s="191">
        <v>50</v>
      </c>
      <c r="E27" s="189" t="s">
        <v>67</v>
      </c>
      <c r="F27" s="174">
        <v>25000</v>
      </c>
      <c r="G27" s="174">
        <f t="shared" si="0"/>
        <v>1250000</v>
      </c>
    </row>
    <row r="28" spans="1:7" ht="15" x14ac:dyDescent="0.25">
      <c r="A28" s="181"/>
      <c r="B28" s="189" t="s">
        <v>83</v>
      </c>
      <c r="C28" s="190" t="s">
        <v>74</v>
      </c>
      <c r="D28" s="191">
        <v>7.5</v>
      </c>
      <c r="E28" s="189" t="s">
        <v>84</v>
      </c>
      <c r="F28" s="174">
        <v>40000</v>
      </c>
      <c r="G28" s="174">
        <f t="shared" si="0"/>
        <v>300000</v>
      </c>
    </row>
    <row r="29" spans="1:7" ht="12.75" customHeight="1" x14ac:dyDescent="0.25">
      <c r="A29" s="181"/>
      <c r="B29" s="189"/>
      <c r="C29" s="190"/>
      <c r="D29" s="191"/>
      <c r="E29" s="189"/>
      <c r="F29" s="174"/>
      <c r="G29" s="174"/>
    </row>
    <row r="30" spans="1:7" ht="12.75" customHeight="1" x14ac:dyDescent="0.25">
      <c r="A30" s="181"/>
      <c r="B30" s="192" t="s">
        <v>20</v>
      </c>
      <c r="C30" s="193"/>
      <c r="D30" s="193"/>
      <c r="E30" s="193"/>
      <c r="F30" s="194"/>
      <c r="G30" s="195">
        <f>SUM(G21:G29)</f>
        <v>6175000</v>
      </c>
    </row>
    <row r="31" spans="1:7" ht="12" customHeight="1" x14ac:dyDescent="0.25">
      <c r="A31" s="157"/>
      <c r="B31" s="182"/>
      <c r="C31" s="184"/>
      <c r="D31" s="184"/>
      <c r="E31" s="184"/>
      <c r="F31" s="196"/>
      <c r="G31" s="196"/>
    </row>
    <row r="32" spans="1:7" ht="12" customHeight="1" x14ac:dyDescent="0.25">
      <c r="A32" s="162"/>
      <c r="B32" s="197" t="s">
        <v>21</v>
      </c>
      <c r="C32" s="198"/>
      <c r="D32" s="199"/>
      <c r="E32" s="199"/>
      <c r="F32" s="200"/>
      <c r="G32" s="200"/>
    </row>
    <row r="33" spans="1:7" ht="24" customHeight="1" x14ac:dyDescent="0.25">
      <c r="A33" s="162"/>
      <c r="B33" s="201" t="s">
        <v>14</v>
      </c>
      <c r="C33" s="202" t="s">
        <v>15</v>
      </c>
      <c r="D33" s="202" t="s">
        <v>16</v>
      </c>
      <c r="E33" s="201" t="s">
        <v>17</v>
      </c>
      <c r="F33" s="202" t="s">
        <v>18</v>
      </c>
      <c r="G33" s="201" t="s">
        <v>19</v>
      </c>
    </row>
    <row r="34" spans="1:7" ht="12" customHeight="1" x14ac:dyDescent="0.25">
      <c r="A34" s="162"/>
      <c r="B34" s="203"/>
      <c r="C34" s="204"/>
      <c r="D34" s="204"/>
      <c r="E34" s="204"/>
      <c r="F34" s="203"/>
      <c r="G34" s="203"/>
    </row>
    <row r="35" spans="1:7" ht="12" customHeight="1" x14ac:dyDescent="0.25">
      <c r="A35" s="162"/>
      <c r="B35" s="205" t="s">
        <v>22</v>
      </c>
      <c r="C35" s="206"/>
      <c r="D35" s="206"/>
      <c r="E35" s="206"/>
      <c r="F35" s="207"/>
      <c r="G35" s="207"/>
    </row>
    <row r="36" spans="1:7" ht="12" customHeight="1" x14ac:dyDescent="0.25">
      <c r="A36" s="157"/>
      <c r="B36" s="189"/>
      <c r="C36" s="190"/>
      <c r="D36" s="191"/>
      <c r="E36" s="189"/>
      <c r="F36" s="174"/>
      <c r="G36" s="174"/>
    </row>
    <row r="37" spans="1:7" ht="12" customHeight="1" x14ac:dyDescent="0.25">
      <c r="A37" s="162"/>
      <c r="B37" s="197" t="s">
        <v>23</v>
      </c>
      <c r="C37" s="198"/>
      <c r="D37" s="199"/>
      <c r="E37" s="199"/>
      <c r="F37" s="200"/>
      <c r="G37" s="200"/>
    </row>
    <row r="38" spans="1:7" ht="24" customHeight="1" x14ac:dyDescent="0.25">
      <c r="A38" s="162"/>
      <c r="B38" s="208" t="s">
        <v>14</v>
      </c>
      <c r="C38" s="208" t="s">
        <v>15</v>
      </c>
      <c r="D38" s="208" t="s">
        <v>16</v>
      </c>
      <c r="E38" s="208" t="s">
        <v>17</v>
      </c>
      <c r="F38" s="209" t="s">
        <v>18</v>
      </c>
      <c r="G38" s="208" t="s">
        <v>19</v>
      </c>
    </row>
    <row r="39" spans="1:7" ht="12.75" customHeight="1" x14ac:dyDescent="0.25">
      <c r="A39" s="181"/>
      <c r="B39" s="189" t="s">
        <v>68</v>
      </c>
      <c r="C39" s="190" t="s">
        <v>71</v>
      </c>
      <c r="D39" s="191">
        <v>4</v>
      </c>
      <c r="E39" s="189" t="s">
        <v>72</v>
      </c>
      <c r="F39" s="174">
        <v>30000</v>
      </c>
      <c r="G39" s="174">
        <f>+D39*F39</f>
        <v>120000</v>
      </c>
    </row>
    <row r="40" spans="1:7" ht="12.75" customHeight="1" x14ac:dyDescent="0.25">
      <c r="A40" s="181"/>
      <c r="B40" s="210"/>
      <c r="C40" s="211"/>
      <c r="D40" s="212"/>
      <c r="E40" s="213"/>
      <c r="F40" s="214"/>
      <c r="G40" s="214">
        <f t="shared" ref="G40" si="1">(D40*F40)</f>
        <v>0</v>
      </c>
    </row>
    <row r="41" spans="1:7" ht="12.75" customHeight="1" x14ac:dyDescent="0.25">
      <c r="A41" s="162"/>
      <c r="B41" s="215" t="s">
        <v>24</v>
      </c>
      <c r="C41" s="216"/>
      <c r="D41" s="216"/>
      <c r="E41" s="216"/>
      <c r="F41" s="217"/>
      <c r="G41" s="218">
        <f>SUM(G39:G40)</f>
        <v>120000</v>
      </c>
    </row>
    <row r="42" spans="1:7" ht="12" customHeight="1" x14ac:dyDescent="0.25">
      <c r="A42" s="157"/>
      <c r="B42" s="219"/>
      <c r="C42" s="220"/>
      <c r="D42" s="220"/>
      <c r="E42" s="220"/>
      <c r="F42" s="221"/>
      <c r="G42" s="221"/>
    </row>
    <row r="43" spans="1:7" ht="12" customHeight="1" x14ac:dyDescent="0.25">
      <c r="A43" s="162"/>
      <c r="B43" s="197" t="s">
        <v>25</v>
      </c>
      <c r="C43" s="198"/>
      <c r="D43" s="199"/>
      <c r="E43" s="199"/>
      <c r="F43" s="200"/>
      <c r="G43" s="200"/>
    </row>
    <row r="44" spans="1:7" ht="24" customHeight="1" x14ac:dyDescent="0.25">
      <c r="A44" s="162"/>
      <c r="B44" s="209" t="s">
        <v>26</v>
      </c>
      <c r="C44" s="209" t="s">
        <v>27</v>
      </c>
      <c r="D44" s="209" t="s">
        <v>28</v>
      </c>
      <c r="E44" s="209" t="s">
        <v>17</v>
      </c>
      <c r="F44" s="209" t="s">
        <v>18</v>
      </c>
      <c r="G44" s="209" t="s">
        <v>19</v>
      </c>
    </row>
    <row r="45" spans="1:7" ht="12.75" customHeight="1" x14ac:dyDescent="0.25">
      <c r="A45" s="181"/>
      <c r="B45" s="222" t="s">
        <v>115</v>
      </c>
      <c r="C45" s="223"/>
      <c r="D45" s="223"/>
      <c r="E45" s="223"/>
      <c r="F45" s="223"/>
      <c r="G45" s="223"/>
    </row>
    <row r="46" spans="1:7" ht="12.75" customHeight="1" x14ac:dyDescent="0.25">
      <c r="A46" s="181"/>
      <c r="B46" s="172" t="s">
        <v>86</v>
      </c>
      <c r="C46" s="224" t="s">
        <v>87</v>
      </c>
      <c r="D46" s="225">
        <v>2000</v>
      </c>
      <c r="E46" s="224" t="s">
        <v>88</v>
      </c>
      <c r="F46" s="226">
        <v>2400</v>
      </c>
      <c r="G46" s="226">
        <f>(D46*F46)</f>
        <v>4800000</v>
      </c>
    </row>
    <row r="47" spans="1:7" ht="12.75" customHeight="1" x14ac:dyDescent="0.25">
      <c r="A47" s="181"/>
      <c r="B47" s="227" t="s">
        <v>29</v>
      </c>
      <c r="C47" s="228"/>
      <c r="D47" s="173"/>
      <c r="E47" s="228"/>
      <c r="F47" s="226"/>
      <c r="G47" s="226"/>
    </row>
    <row r="48" spans="1:7" ht="12.75" customHeight="1" x14ac:dyDescent="0.25">
      <c r="A48" s="181"/>
      <c r="B48" s="172" t="s">
        <v>116</v>
      </c>
      <c r="C48" s="228" t="s">
        <v>30</v>
      </c>
      <c r="D48" s="173">
        <v>75</v>
      </c>
      <c r="E48" s="228" t="s">
        <v>113</v>
      </c>
      <c r="F48" s="226">
        <v>1880</v>
      </c>
      <c r="G48" s="226">
        <f>(D48*F48)</f>
        <v>141000</v>
      </c>
    </row>
    <row r="49" spans="1:7" ht="12.75" customHeight="1" x14ac:dyDescent="0.25">
      <c r="A49" s="181"/>
      <c r="B49" s="172" t="s">
        <v>117</v>
      </c>
      <c r="C49" s="228" t="s">
        <v>30</v>
      </c>
      <c r="D49" s="173">
        <v>25</v>
      </c>
      <c r="E49" s="228" t="s">
        <v>113</v>
      </c>
      <c r="F49" s="226">
        <v>1000</v>
      </c>
      <c r="G49" s="226">
        <f>(D49*F49)</f>
        <v>25000</v>
      </c>
    </row>
    <row r="50" spans="1:7" ht="12.75" customHeight="1" x14ac:dyDescent="0.25">
      <c r="A50" s="181"/>
      <c r="B50" s="172" t="s">
        <v>118</v>
      </c>
      <c r="C50" s="224" t="s">
        <v>30</v>
      </c>
      <c r="D50" s="225">
        <v>25</v>
      </c>
      <c r="E50" s="224" t="s">
        <v>113</v>
      </c>
      <c r="F50" s="226">
        <v>800</v>
      </c>
      <c r="G50" s="226">
        <f t="shared" ref="G50:G58" si="2">+F50*D50</f>
        <v>20000</v>
      </c>
    </row>
    <row r="51" spans="1:7" ht="12.75" customHeight="1" x14ac:dyDescent="0.25">
      <c r="A51" s="181"/>
      <c r="B51" s="172" t="s">
        <v>119</v>
      </c>
      <c r="C51" s="224" t="s">
        <v>31</v>
      </c>
      <c r="D51" s="225">
        <v>25</v>
      </c>
      <c r="E51" s="224" t="s">
        <v>113</v>
      </c>
      <c r="F51" s="226">
        <v>2700</v>
      </c>
      <c r="G51" s="226">
        <f t="shared" si="2"/>
        <v>67500</v>
      </c>
    </row>
    <row r="52" spans="1:7" ht="12.75" customHeight="1" x14ac:dyDescent="0.25">
      <c r="A52" s="181"/>
      <c r="B52" s="172" t="s">
        <v>90</v>
      </c>
      <c r="C52" s="224" t="s">
        <v>30</v>
      </c>
      <c r="D52" s="225">
        <v>50</v>
      </c>
      <c r="E52" s="224" t="s">
        <v>113</v>
      </c>
      <c r="F52" s="226">
        <v>985</v>
      </c>
      <c r="G52" s="226">
        <f t="shared" si="2"/>
        <v>49250</v>
      </c>
    </row>
    <row r="53" spans="1:7" ht="12.75" customHeight="1" x14ac:dyDescent="0.25">
      <c r="A53" s="181"/>
      <c r="B53" s="172" t="s">
        <v>120</v>
      </c>
      <c r="C53" s="224" t="s">
        <v>121</v>
      </c>
      <c r="D53" s="225">
        <v>1</v>
      </c>
      <c r="E53" s="224" t="s">
        <v>113</v>
      </c>
      <c r="F53" s="229">
        <v>28000</v>
      </c>
      <c r="G53" s="226">
        <f t="shared" si="2"/>
        <v>28000</v>
      </c>
    </row>
    <row r="54" spans="1:7" ht="12.75" customHeight="1" x14ac:dyDescent="0.25">
      <c r="A54" s="181"/>
      <c r="B54" s="172" t="s">
        <v>124</v>
      </c>
      <c r="C54" s="224" t="s">
        <v>125</v>
      </c>
      <c r="D54" s="225">
        <v>1</v>
      </c>
      <c r="E54" s="224" t="s">
        <v>113</v>
      </c>
      <c r="F54" s="229">
        <v>97500</v>
      </c>
      <c r="G54" s="226">
        <f t="shared" si="2"/>
        <v>97500</v>
      </c>
    </row>
    <row r="55" spans="1:7" ht="12.75" customHeight="1" x14ac:dyDescent="0.25">
      <c r="A55" s="181"/>
      <c r="B55" s="172" t="s">
        <v>122</v>
      </c>
      <c r="C55" s="224" t="s">
        <v>123</v>
      </c>
      <c r="D55" s="225">
        <v>2</v>
      </c>
      <c r="E55" s="224" t="s">
        <v>113</v>
      </c>
      <c r="F55" s="226">
        <v>42000</v>
      </c>
      <c r="G55" s="226">
        <f t="shared" si="2"/>
        <v>84000</v>
      </c>
    </row>
    <row r="56" spans="1:7" ht="12.75" customHeight="1" x14ac:dyDescent="0.25">
      <c r="A56" s="181"/>
      <c r="B56" s="172" t="s">
        <v>104</v>
      </c>
      <c r="C56" s="224" t="s">
        <v>106</v>
      </c>
      <c r="D56" s="225">
        <v>2</v>
      </c>
      <c r="E56" s="224" t="s">
        <v>89</v>
      </c>
      <c r="F56" s="229">
        <v>70353</v>
      </c>
      <c r="G56" s="226">
        <f t="shared" si="2"/>
        <v>140706</v>
      </c>
    </row>
    <row r="57" spans="1:7" ht="12.75" customHeight="1" x14ac:dyDescent="0.25">
      <c r="A57" s="181"/>
      <c r="B57" s="172" t="s">
        <v>91</v>
      </c>
      <c r="C57" s="224" t="s">
        <v>106</v>
      </c>
      <c r="D57" s="225">
        <v>1</v>
      </c>
      <c r="E57" s="224" t="s">
        <v>113</v>
      </c>
      <c r="F57" s="229">
        <v>21000</v>
      </c>
      <c r="G57" s="226">
        <f t="shared" si="2"/>
        <v>21000</v>
      </c>
    </row>
    <row r="58" spans="1:7" ht="12.75" customHeight="1" x14ac:dyDescent="0.25">
      <c r="A58" s="181"/>
      <c r="B58" s="172" t="s">
        <v>126</v>
      </c>
      <c r="C58" s="224" t="s">
        <v>33</v>
      </c>
      <c r="D58" s="225">
        <v>4</v>
      </c>
      <c r="E58" s="224" t="s">
        <v>113</v>
      </c>
      <c r="F58" s="229">
        <v>21840</v>
      </c>
      <c r="G58" s="226">
        <f t="shared" si="2"/>
        <v>87360</v>
      </c>
    </row>
    <row r="59" spans="1:7" ht="12.75" customHeight="1" x14ac:dyDescent="0.25">
      <c r="A59" s="181"/>
      <c r="B59" s="227" t="s">
        <v>32</v>
      </c>
      <c r="C59" s="228"/>
      <c r="D59" s="173"/>
      <c r="E59" s="228"/>
      <c r="F59" s="226"/>
      <c r="G59" s="226"/>
    </row>
    <row r="60" spans="1:7" ht="12.75" customHeight="1" x14ac:dyDescent="0.25">
      <c r="A60" s="181"/>
      <c r="B60" s="172" t="s">
        <v>92</v>
      </c>
      <c r="C60" s="224" t="s">
        <v>33</v>
      </c>
      <c r="D60" s="225">
        <v>1</v>
      </c>
      <c r="E60" s="224" t="s">
        <v>89</v>
      </c>
      <c r="F60" s="229">
        <v>12500</v>
      </c>
      <c r="G60" s="226">
        <f>(D60*F60)</f>
        <v>12500</v>
      </c>
    </row>
    <row r="61" spans="1:7" ht="12.75" customHeight="1" x14ac:dyDescent="0.25">
      <c r="A61" s="181"/>
      <c r="B61" s="172"/>
      <c r="C61" s="224"/>
      <c r="D61" s="225"/>
      <c r="E61" s="224"/>
      <c r="F61" s="226"/>
      <c r="G61" s="226"/>
    </row>
    <row r="62" spans="1:7" ht="12.75" customHeight="1" x14ac:dyDescent="0.25">
      <c r="A62" s="181"/>
      <c r="B62" s="227" t="s">
        <v>98</v>
      </c>
      <c r="C62" s="228"/>
      <c r="D62" s="173"/>
      <c r="E62" s="228"/>
      <c r="F62" s="226"/>
      <c r="G62" s="226"/>
    </row>
    <row r="63" spans="1:7" ht="12.75" customHeight="1" x14ac:dyDescent="0.25">
      <c r="A63" s="181"/>
      <c r="B63" s="230" t="s">
        <v>93</v>
      </c>
      <c r="C63" s="231" t="s">
        <v>107</v>
      </c>
      <c r="D63" s="232">
        <v>1</v>
      </c>
      <c r="E63" s="231" t="s">
        <v>89</v>
      </c>
      <c r="F63" s="233">
        <v>32500</v>
      </c>
      <c r="G63" s="234">
        <f t="shared" ref="G63:G73" si="3">+F63*D63</f>
        <v>32500</v>
      </c>
    </row>
    <row r="64" spans="1:7" ht="12.75" customHeight="1" x14ac:dyDescent="0.25">
      <c r="A64" s="181"/>
      <c r="B64" s="230" t="s">
        <v>94</v>
      </c>
      <c r="C64" s="231" t="s">
        <v>108</v>
      </c>
      <c r="D64" s="232">
        <v>1</v>
      </c>
      <c r="E64" s="231" t="s">
        <v>89</v>
      </c>
      <c r="F64" s="233">
        <v>84500</v>
      </c>
      <c r="G64" s="234">
        <f t="shared" si="3"/>
        <v>84500</v>
      </c>
    </row>
    <row r="65" spans="1:7" ht="12.75" customHeight="1" x14ac:dyDescent="0.25">
      <c r="A65" s="181"/>
      <c r="B65" s="230" t="s">
        <v>95</v>
      </c>
      <c r="C65" s="231" t="s">
        <v>127</v>
      </c>
      <c r="D65" s="232">
        <v>2</v>
      </c>
      <c r="E65" s="231" t="s">
        <v>89</v>
      </c>
      <c r="F65" s="233">
        <v>29000</v>
      </c>
      <c r="G65" s="234">
        <f t="shared" si="3"/>
        <v>58000</v>
      </c>
    </row>
    <row r="66" spans="1:7" ht="12.75" customHeight="1" x14ac:dyDescent="0.25">
      <c r="A66" s="181"/>
      <c r="B66" s="230" t="s">
        <v>96</v>
      </c>
      <c r="C66" s="231" t="s">
        <v>109</v>
      </c>
      <c r="D66" s="232">
        <v>8</v>
      </c>
      <c r="E66" s="231" t="s">
        <v>89</v>
      </c>
      <c r="F66" s="233">
        <v>4300</v>
      </c>
      <c r="G66" s="234">
        <f t="shared" si="3"/>
        <v>34400</v>
      </c>
    </row>
    <row r="67" spans="1:7" ht="12.75" customHeight="1" x14ac:dyDescent="0.25">
      <c r="A67" s="181"/>
      <c r="B67" s="230" t="s">
        <v>97</v>
      </c>
      <c r="C67" s="231" t="s">
        <v>108</v>
      </c>
      <c r="D67" s="232">
        <v>1</v>
      </c>
      <c r="E67" s="231" t="s">
        <v>89</v>
      </c>
      <c r="F67" s="233">
        <v>237000</v>
      </c>
      <c r="G67" s="234">
        <f t="shared" si="3"/>
        <v>237000</v>
      </c>
    </row>
    <row r="68" spans="1:7" ht="12.75" customHeight="1" x14ac:dyDescent="0.25">
      <c r="A68" s="181"/>
      <c r="B68" s="230" t="s">
        <v>99</v>
      </c>
      <c r="C68" s="231" t="s">
        <v>110</v>
      </c>
      <c r="D68" s="232">
        <v>4</v>
      </c>
      <c r="E68" s="231" t="s">
        <v>89</v>
      </c>
      <c r="F68" s="233">
        <v>26500</v>
      </c>
      <c r="G68" s="234">
        <f t="shared" si="3"/>
        <v>106000</v>
      </c>
    </row>
    <row r="69" spans="1:7" ht="12.75" customHeight="1" x14ac:dyDescent="0.25">
      <c r="A69" s="181"/>
      <c r="B69" s="230" t="s">
        <v>100</v>
      </c>
      <c r="C69" s="231" t="s">
        <v>111</v>
      </c>
      <c r="D69" s="232">
        <v>2</v>
      </c>
      <c r="E69" s="231" t="s">
        <v>89</v>
      </c>
      <c r="F69" s="233">
        <v>20800</v>
      </c>
      <c r="G69" s="234">
        <f t="shared" si="3"/>
        <v>41600</v>
      </c>
    </row>
    <row r="70" spans="1:7" ht="12.75" customHeight="1" x14ac:dyDescent="0.25">
      <c r="A70" s="181"/>
      <c r="B70" s="230" t="s">
        <v>101</v>
      </c>
      <c r="C70" s="231" t="s">
        <v>107</v>
      </c>
      <c r="D70" s="232">
        <v>1</v>
      </c>
      <c r="E70" s="231" t="s">
        <v>89</v>
      </c>
      <c r="F70" s="233">
        <v>35000</v>
      </c>
      <c r="G70" s="234">
        <f t="shared" si="3"/>
        <v>35000</v>
      </c>
    </row>
    <row r="71" spans="1:7" ht="12.75" customHeight="1" x14ac:dyDescent="0.25">
      <c r="A71" s="181"/>
      <c r="B71" s="230" t="s">
        <v>102</v>
      </c>
      <c r="C71" s="231" t="s">
        <v>107</v>
      </c>
      <c r="D71" s="232">
        <v>0.5</v>
      </c>
      <c r="E71" s="231" t="s">
        <v>89</v>
      </c>
      <c r="F71" s="233">
        <v>84500</v>
      </c>
      <c r="G71" s="234">
        <f t="shared" si="3"/>
        <v>42250</v>
      </c>
    </row>
    <row r="72" spans="1:7" ht="12.75" customHeight="1" x14ac:dyDescent="0.25">
      <c r="A72" s="181"/>
      <c r="B72" s="230" t="s">
        <v>103</v>
      </c>
      <c r="C72" s="231" t="s">
        <v>108</v>
      </c>
      <c r="D72" s="232">
        <v>1</v>
      </c>
      <c r="E72" s="231" t="s">
        <v>89</v>
      </c>
      <c r="F72" s="233">
        <v>27600</v>
      </c>
      <c r="G72" s="234">
        <f t="shared" si="3"/>
        <v>27600</v>
      </c>
    </row>
    <row r="73" spans="1:7" ht="12.75" customHeight="1" x14ac:dyDescent="0.25">
      <c r="A73" s="181"/>
      <c r="B73" s="235" t="s">
        <v>128</v>
      </c>
      <c r="C73" s="236" t="s">
        <v>107</v>
      </c>
      <c r="D73" s="237">
        <v>1</v>
      </c>
      <c r="E73" s="236" t="s">
        <v>89</v>
      </c>
      <c r="F73" s="238">
        <v>69800</v>
      </c>
      <c r="G73" s="239">
        <f t="shared" si="3"/>
        <v>69800</v>
      </c>
    </row>
    <row r="74" spans="1:7" ht="13.5" customHeight="1" x14ac:dyDescent="0.25">
      <c r="A74" s="162"/>
      <c r="B74" s="240" t="s">
        <v>34</v>
      </c>
      <c r="C74" s="241"/>
      <c r="D74" s="241"/>
      <c r="E74" s="241"/>
      <c r="F74" s="242"/>
      <c r="G74" s="243">
        <f>SUM(G46:G73)</f>
        <v>6342466</v>
      </c>
    </row>
    <row r="75" spans="1:7" ht="12" customHeight="1" x14ac:dyDescent="0.25">
      <c r="A75" s="157"/>
      <c r="B75" s="219"/>
      <c r="C75" s="220"/>
      <c r="D75" s="220"/>
      <c r="E75" s="244"/>
      <c r="F75" s="221"/>
      <c r="G75" s="221"/>
    </row>
    <row r="76" spans="1:7" ht="12" customHeight="1" x14ac:dyDescent="0.25">
      <c r="A76" s="162"/>
      <c r="B76" s="197" t="s">
        <v>35</v>
      </c>
      <c r="C76" s="198"/>
      <c r="D76" s="199"/>
      <c r="E76" s="199"/>
      <c r="F76" s="200"/>
      <c r="G76" s="200"/>
    </row>
    <row r="77" spans="1:7" ht="24" customHeight="1" x14ac:dyDescent="0.25">
      <c r="A77" s="162"/>
      <c r="B77" s="208" t="s">
        <v>36</v>
      </c>
      <c r="C77" s="209" t="s">
        <v>27</v>
      </c>
      <c r="D77" s="209" t="s">
        <v>28</v>
      </c>
      <c r="E77" s="208" t="s">
        <v>17</v>
      </c>
      <c r="F77" s="209" t="s">
        <v>18</v>
      </c>
      <c r="G77" s="208" t="s">
        <v>19</v>
      </c>
    </row>
    <row r="78" spans="1:7" ht="12.75" customHeight="1" x14ac:dyDescent="0.25">
      <c r="A78" s="181"/>
      <c r="B78" s="189" t="s">
        <v>148</v>
      </c>
      <c r="C78" s="224" t="s">
        <v>130</v>
      </c>
      <c r="D78" s="245">
        <v>1</v>
      </c>
      <c r="E78" s="190" t="s">
        <v>113</v>
      </c>
      <c r="F78" s="246">
        <v>47000</v>
      </c>
      <c r="G78" s="226">
        <f t="shared" ref="G78:G82" si="4">+F78*D78</f>
        <v>47000</v>
      </c>
    </row>
    <row r="79" spans="1:7" ht="23.25" customHeight="1" x14ac:dyDescent="0.25">
      <c r="A79" s="181"/>
      <c r="B79" s="189" t="s">
        <v>131</v>
      </c>
      <c r="C79" s="224" t="s">
        <v>132</v>
      </c>
      <c r="D79" s="245">
        <v>1.5</v>
      </c>
      <c r="E79" s="190" t="s">
        <v>133</v>
      </c>
      <c r="F79" s="246">
        <v>499400</v>
      </c>
      <c r="G79" s="226">
        <f>+F79*D79</f>
        <v>749100</v>
      </c>
    </row>
    <row r="80" spans="1:7" ht="12.75" customHeight="1" x14ac:dyDescent="0.25">
      <c r="A80" s="181"/>
      <c r="B80" s="189" t="s">
        <v>134</v>
      </c>
      <c r="C80" s="224" t="s">
        <v>135</v>
      </c>
      <c r="D80" s="245">
        <v>0.5</v>
      </c>
      <c r="E80" s="190" t="s">
        <v>133</v>
      </c>
      <c r="F80" s="246">
        <v>70000</v>
      </c>
      <c r="G80" s="226">
        <f t="shared" si="4"/>
        <v>35000</v>
      </c>
    </row>
    <row r="81" spans="1:8" ht="16.899999999999999" customHeight="1" x14ac:dyDescent="0.25">
      <c r="A81" s="181"/>
      <c r="B81" s="189" t="s">
        <v>136</v>
      </c>
      <c r="C81" s="224" t="s">
        <v>137</v>
      </c>
      <c r="D81" s="226">
        <f>32*4*4*5</f>
        <v>2560</v>
      </c>
      <c r="E81" s="190" t="s">
        <v>133</v>
      </c>
      <c r="F81" s="246">
        <v>83</v>
      </c>
      <c r="G81" s="226">
        <f t="shared" si="4"/>
        <v>212480</v>
      </c>
    </row>
    <row r="82" spans="1:8" ht="12.75" customHeight="1" x14ac:dyDescent="0.25">
      <c r="A82" s="181"/>
      <c r="B82" s="189" t="s">
        <v>138</v>
      </c>
      <c r="C82" s="224" t="s">
        <v>139</v>
      </c>
      <c r="D82" s="226">
        <v>12</v>
      </c>
      <c r="E82" s="190" t="s">
        <v>113</v>
      </c>
      <c r="F82" s="246">
        <f>150000/40*5</f>
        <v>18750</v>
      </c>
      <c r="G82" s="226">
        <f t="shared" si="4"/>
        <v>225000</v>
      </c>
    </row>
    <row r="83" spans="1:8" ht="25.15" customHeight="1" x14ac:dyDescent="0.25">
      <c r="A83" s="181"/>
      <c r="B83" s="189" t="s">
        <v>80</v>
      </c>
      <c r="C83" s="224" t="s">
        <v>81</v>
      </c>
      <c r="D83" s="226">
        <v>40</v>
      </c>
      <c r="E83" s="190" t="s">
        <v>82</v>
      </c>
      <c r="F83" s="246">
        <f>5000*1.3</f>
        <v>6500</v>
      </c>
      <c r="G83" s="226">
        <f>(D83*F83)</f>
        <v>260000</v>
      </c>
    </row>
    <row r="84" spans="1:8" ht="12.75" customHeight="1" x14ac:dyDescent="0.25">
      <c r="A84" s="181"/>
      <c r="B84" s="189" t="s">
        <v>105</v>
      </c>
      <c r="C84" s="224" t="s">
        <v>112</v>
      </c>
      <c r="D84" s="226">
        <v>1</v>
      </c>
      <c r="E84" s="190" t="s">
        <v>113</v>
      </c>
      <c r="F84" s="246">
        <v>586000</v>
      </c>
      <c r="G84" s="226">
        <f>+F84*D84</f>
        <v>586000</v>
      </c>
    </row>
    <row r="85" spans="1:8" ht="13.5" customHeight="1" x14ac:dyDescent="0.25">
      <c r="A85" s="162"/>
      <c r="B85" s="247" t="s">
        <v>37</v>
      </c>
      <c r="C85" s="248"/>
      <c r="D85" s="248"/>
      <c r="E85" s="248"/>
      <c r="F85" s="249"/>
      <c r="G85" s="250">
        <f>SUM(G78:G84)</f>
        <v>2114580</v>
      </c>
    </row>
    <row r="86" spans="1:8" ht="12" customHeight="1" x14ac:dyDescent="0.25">
      <c r="A86" s="157"/>
      <c r="B86" s="251"/>
      <c r="C86" s="251"/>
      <c r="D86" s="251"/>
      <c r="E86" s="251"/>
      <c r="F86" s="252"/>
      <c r="G86" s="252"/>
    </row>
    <row r="87" spans="1:8" ht="12" customHeight="1" x14ac:dyDescent="0.25">
      <c r="A87" s="253"/>
      <c r="B87" s="254" t="s">
        <v>38</v>
      </c>
      <c r="C87" s="255"/>
      <c r="D87" s="255"/>
      <c r="E87" s="255"/>
      <c r="F87" s="255"/>
      <c r="G87" s="256">
        <f>G30+G41+G74+G85</f>
        <v>14752046</v>
      </c>
    </row>
    <row r="88" spans="1:8" ht="12" customHeight="1" x14ac:dyDescent="0.25">
      <c r="A88" s="253"/>
      <c r="B88" s="257" t="s">
        <v>39</v>
      </c>
      <c r="C88" s="258"/>
      <c r="D88" s="258"/>
      <c r="E88" s="258"/>
      <c r="F88" s="258"/>
      <c r="G88" s="259">
        <f>G87*0.05</f>
        <v>737602.3</v>
      </c>
    </row>
    <row r="89" spans="1:8" ht="12" customHeight="1" x14ac:dyDescent="0.25">
      <c r="A89" s="253"/>
      <c r="B89" s="260" t="s">
        <v>40</v>
      </c>
      <c r="C89" s="261"/>
      <c r="D89" s="261"/>
      <c r="E89" s="261"/>
      <c r="F89" s="261"/>
      <c r="G89" s="262">
        <f>G88+G87</f>
        <v>15489648.300000001</v>
      </c>
    </row>
    <row r="90" spans="1:8" ht="12" customHeight="1" x14ac:dyDescent="0.25">
      <c r="A90" s="253"/>
      <c r="B90" s="257" t="s">
        <v>41</v>
      </c>
      <c r="C90" s="258"/>
      <c r="D90" s="258"/>
      <c r="E90" s="258"/>
      <c r="F90" s="258"/>
      <c r="G90" s="259">
        <f>G12</f>
        <v>28800000</v>
      </c>
    </row>
    <row r="91" spans="1:8" ht="12" customHeight="1" x14ac:dyDescent="0.25">
      <c r="A91" s="253"/>
      <c r="B91" s="263" t="s">
        <v>42</v>
      </c>
      <c r="C91" s="264"/>
      <c r="D91" s="264"/>
      <c r="E91" s="264"/>
      <c r="F91" s="264"/>
      <c r="G91" s="265">
        <f>G90-G89</f>
        <v>13310351.699999999</v>
      </c>
      <c r="H91" s="266"/>
    </row>
    <row r="92" spans="1:8" ht="12" customHeight="1" x14ac:dyDescent="0.25">
      <c r="A92" s="253"/>
      <c r="B92" s="267" t="s">
        <v>149</v>
      </c>
      <c r="C92" s="268"/>
      <c r="D92" s="268"/>
      <c r="E92" s="268"/>
      <c r="F92" s="268"/>
      <c r="G92" s="269"/>
    </row>
    <row r="93" spans="1:8" ht="12.75" customHeight="1" thickBot="1" x14ac:dyDescent="0.3">
      <c r="A93" s="253"/>
      <c r="B93" s="270"/>
      <c r="C93" s="268"/>
      <c r="D93" s="268"/>
      <c r="E93" s="268"/>
      <c r="F93" s="268"/>
      <c r="G93" s="269"/>
    </row>
    <row r="94" spans="1:8" ht="12" customHeight="1" x14ac:dyDescent="0.25">
      <c r="A94" s="253"/>
      <c r="B94" s="271" t="s">
        <v>150</v>
      </c>
      <c r="C94" s="272"/>
      <c r="D94" s="272"/>
      <c r="E94" s="272"/>
      <c r="F94" s="273"/>
      <c r="G94" s="269"/>
    </row>
    <row r="95" spans="1:8" ht="12" customHeight="1" x14ac:dyDescent="0.25">
      <c r="A95" s="253"/>
      <c r="B95" s="274" t="s">
        <v>45</v>
      </c>
      <c r="C95" s="275"/>
      <c r="D95" s="275"/>
      <c r="E95" s="275"/>
      <c r="F95" s="276"/>
      <c r="G95" s="269"/>
    </row>
    <row r="96" spans="1:8" ht="12" customHeight="1" x14ac:dyDescent="0.25">
      <c r="A96" s="253"/>
      <c r="B96" s="274" t="s">
        <v>46</v>
      </c>
      <c r="C96" s="275"/>
      <c r="D96" s="275"/>
      <c r="E96" s="275"/>
      <c r="F96" s="276"/>
      <c r="G96" s="269"/>
    </row>
    <row r="97" spans="1:7" ht="12" customHeight="1" x14ac:dyDescent="0.25">
      <c r="A97" s="253"/>
      <c r="B97" s="274" t="s">
        <v>47</v>
      </c>
      <c r="C97" s="275"/>
      <c r="D97" s="275"/>
      <c r="E97" s="275"/>
      <c r="F97" s="276"/>
      <c r="G97" s="269"/>
    </row>
    <row r="98" spans="1:7" ht="12" customHeight="1" x14ac:dyDescent="0.25">
      <c r="A98" s="253"/>
      <c r="B98" s="274" t="s">
        <v>48</v>
      </c>
      <c r="C98" s="275"/>
      <c r="D98" s="275"/>
      <c r="E98" s="275"/>
      <c r="F98" s="276"/>
      <c r="G98" s="269"/>
    </row>
    <row r="99" spans="1:7" ht="12" customHeight="1" x14ac:dyDescent="0.25">
      <c r="A99" s="253"/>
      <c r="B99" s="274" t="s">
        <v>49</v>
      </c>
      <c r="C99" s="275"/>
      <c r="D99" s="275"/>
      <c r="E99" s="275"/>
      <c r="F99" s="276"/>
      <c r="G99" s="269"/>
    </row>
    <row r="100" spans="1:7" ht="12.75" customHeight="1" thickBot="1" x14ac:dyDescent="0.3">
      <c r="A100" s="253"/>
      <c r="B100" s="277" t="s">
        <v>50</v>
      </c>
      <c r="C100" s="278"/>
      <c r="D100" s="278"/>
      <c r="E100" s="278"/>
      <c r="F100" s="279"/>
      <c r="G100" s="269"/>
    </row>
    <row r="101" spans="1:7" ht="12.75" customHeight="1" x14ac:dyDescent="0.25">
      <c r="A101" s="253"/>
      <c r="B101" s="280"/>
      <c r="C101" s="275"/>
      <c r="D101" s="275"/>
      <c r="E101" s="275"/>
      <c r="F101" s="275"/>
      <c r="G101" s="269"/>
    </row>
    <row r="102" spans="1:7" ht="15" customHeight="1" thickBot="1" x14ac:dyDescent="0.3">
      <c r="A102" s="253"/>
      <c r="B102" s="322" t="s">
        <v>51</v>
      </c>
      <c r="C102" s="323"/>
      <c r="D102" s="281"/>
      <c r="E102" s="282"/>
      <c r="F102" s="282"/>
      <c r="G102" s="269"/>
    </row>
    <row r="103" spans="1:7" ht="12" customHeight="1" x14ac:dyDescent="0.25">
      <c r="A103" s="253"/>
      <c r="B103" s="283" t="s">
        <v>36</v>
      </c>
      <c r="C103" s="284" t="s">
        <v>140</v>
      </c>
      <c r="D103" s="285" t="s">
        <v>52</v>
      </c>
      <c r="E103" s="282"/>
      <c r="F103" s="282"/>
      <c r="G103" s="269"/>
    </row>
    <row r="104" spans="1:7" ht="12" customHeight="1" x14ac:dyDescent="0.25">
      <c r="A104" s="253"/>
      <c r="B104" s="286" t="s">
        <v>53</v>
      </c>
      <c r="C104" s="287">
        <f>+G30</f>
        <v>6175000</v>
      </c>
      <c r="D104" s="288">
        <f>(C104/C110)</f>
        <v>0.39865333804899883</v>
      </c>
      <c r="E104" s="282"/>
      <c r="F104" s="282"/>
      <c r="G104" s="269"/>
    </row>
    <row r="105" spans="1:7" ht="12" customHeight="1" x14ac:dyDescent="0.25">
      <c r="A105" s="253"/>
      <c r="B105" s="286" t="s">
        <v>54</v>
      </c>
      <c r="C105" s="289">
        <v>0</v>
      </c>
      <c r="D105" s="288">
        <v>0</v>
      </c>
      <c r="E105" s="282"/>
      <c r="F105" s="282"/>
      <c r="G105" s="269"/>
    </row>
    <row r="106" spans="1:7" ht="12" customHeight="1" x14ac:dyDescent="0.25">
      <c r="A106" s="253"/>
      <c r="B106" s="286" t="s">
        <v>55</v>
      </c>
      <c r="C106" s="287">
        <f>+G41</f>
        <v>120000</v>
      </c>
      <c r="D106" s="288">
        <f>(C106/C110)</f>
        <v>7.7471094033813538E-3</v>
      </c>
      <c r="E106" s="282"/>
      <c r="F106" s="282"/>
      <c r="G106" s="269"/>
    </row>
    <row r="107" spans="1:7" ht="12" customHeight="1" x14ac:dyDescent="0.25">
      <c r="A107" s="253"/>
      <c r="B107" s="286" t="s">
        <v>26</v>
      </c>
      <c r="C107" s="287">
        <f>+G74</f>
        <v>6342466</v>
      </c>
      <c r="D107" s="288">
        <f>(C107/C110)</f>
        <v>0.40946481657688766</v>
      </c>
      <c r="E107" s="282"/>
      <c r="F107" s="282"/>
      <c r="G107" s="269"/>
    </row>
    <row r="108" spans="1:7" ht="12" customHeight="1" x14ac:dyDescent="0.25">
      <c r="A108" s="253"/>
      <c r="B108" s="286" t="s">
        <v>56</v>
      </c>
      <c r="C108" s="290">
        <f>+G85</f>
        <v>2114580</v>
      </c>
      <c r="D108" s="288">
        <f>(C108/C110)</f>
        <v>0.13651568835168451</v>
      </c>
      <c r="E108" s="291"/>
      <c r="F108" s="291"/>
      <c r="G108" s="269"/>
    </row>
    <row r="109" spans="1:7" ht="12" customHeight="1" x14ac:dyDescent="0.25">
      <c r="A109" s="253"/>
      <c r="B109" s="286" t="s">
        <v>57</v>
      </c>
      <c r="C109" s="290">
        <f>+G88</f>
        <v>737602.3</v>
      </c>
      <c r="D109" s="288">
        <f>(C109/C110)</f>
        <v>4.7619047619047616E-2</v>
      </c>
      <c r="E109" s="291"/>
      <c r="F109" s="291"/>
      <c r="G109" s="269"/>
    </row>
    <row r="110" spans="1:7" ht="12.75" customHeight="1" thickBot="1" x14ac:dyDescent="0.3">
      <c r="A110" s="253"/>
      <c r="B110" s="292" t="s">
        <v>58</v>
      </c>
      <c r="C110" s="293">
        <f>SUM(C104:C109)</f>
        <v>15489648.300000001</v>
      </c>
      <c r="D110" s="294">
        <f>SUM(D104:D109)</f>
        <v>1</v>
      </c>
      <c r="E110" s="291"/>
      <c r="F110" s="291"/>
      <c r="G110" s="269"/>
    </row>
    <row r="111" spans="1:7" ht="12" customHeight="1" x14ac:dyDescent="0.25">
      <c r="A111" s="253"/>
      <c r="B111" s="270"/>
      <c r="C111" s="268"/>
      <c r="D111" s="268"/>
      <c r="E111" s="268"/>
      <c r="F111" s="268"/>
      <c r="G111" s="269"/>
    </row>
    <row r="112" spans="1:7" ht="12.75" customHeight="1" x14ac:dyDescent="0.25">
      <c r="A112" s="253"/>
      <c r="B112" s="295"/>
      <c r="C112" s="268"/>
      <c r="D112" s="268"/>
      <c r="E112" s="268"/>
      <c r="F112" s="268"/>
      <c r="G112" s="269"/>
    </row>
    <row r="113" spans="1:7" ht="12" customHeight="1" thickBot="1" x14ac:dyDescent="0.3">
      <c r="A113" s="296"/>
      <c r="B113" s="297"/>
      <c r="C113" s="298" t="s">
        <v>141</v>
      </c>
      <c r="D113" s="299"/>
      <c r="E113" s="300"/>
      <c r="F113" s="301"/>
      <c r="G113" s="269"/>
    </row>
    <row r="114" spans="1:7" ht="12" customHeight="1" x14ac:dyDescent="0.25">
      <c r="A114" s="253"/>
      <c r="B114" s="302" t="s">
        <v>142</v>
      </c>
      <c r="C114" s="303">
        <v>68000</v>
      </c>
      <c r="D114" s="303">
        <v>72000</v>
      </c>
      <c r="E114" s="304">
        <v>80000</v>
      </c>
      <c r="F114" s="305"/>
      <c r="G114" s="306"/>
    </row>
    <row r="115" spans="1:7" ht="12.75" customHeight="1" thickBot="1" x14ac:dyDescent="0.3">
      <c r="A115" s="253"/>
      <c r="B115" s="292" t="s">
        <v>114</v>
      </c>
      <c r="C115" s="293">
        <f>(G89/C114)</f>
        <v>227.78894558823529</v>
      </c>
      <c r="D115" s="293">
        <f>(C110/D114)</f>
        <v>215.13400416666667</v>
      </c>
      <c r="E115" s="307">
        <f>(G89/E114)</f>
        <v>193.62060375000001</v>
      </c>
      <c r="F115" s="305"/>
      <c r="G115" s="306"/>
    </row>
    <row r="116" spans="1:7" ht="15.6" customHeight="1" x14ac:dyDescent="0.25">
      <c r="A116" s="253"/>
      <c r="B116" s="308" t="s">
        <v>59</v>
      </c>
      <c r="C116" s="275"/>
      <c r="D116" s="275"/>
      <c r="E116" s="275"/>
      <c r="F116" s="275"/>
      <c r="G116" s="275"/>
    </row>
  </sheetData>
  <mergeCells count="8">
    <mergeCell ref="B17:G17"/>
    <mergeCell ref="B102:C102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7FA676-5A54-4167-B0A9-EEE48B34777C}">
  <ds:schemaRefs>
    <ds:schemaRef ds:uri="c5dbce2d-49dc-4afe-a5b0-d7fb7a901161"/>
    <ds:schemaRef ds:uri="http://schemas.microsoft.com/sharepoint/v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1030f0af-99cb-42f1-88fc-acec7333119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6FE5C7-20B8-4BDE-8FA7-FF50BC5DD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97C26F-2187-4B2B-BCEA-CE33B08DC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gerberas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2022-07-22T14:14:16Z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