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imache\"/>
    </mc:Choice>
  </mc:AlternateContent>
  <bookViews>
    <workbookView xWindow="0" yWindow="0" windowWidth="23040" windowHeight="8616"/>
  </bookViews>
  <sheets>
    <sheet name="gerberas" sheetId="1" r:id="rId1"/>
    <sheet name="Al 22.06.2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" l="1"/>
  <c r="F80" i="2"/>
  <c r="G80" i="2" s="1"/>
  <c r="F81" i="2"/>
  <c r="F82" i="2"/>
  <c r="F83" i="2"/>
  <c r="G83" i="2" s="1"/>
  <c r="F84" i="2"/>
  <c r="F78" i="2"/>
  <c r="G78" i="2" s="1"/>
  <c r="F47" i="2"/>
  <c r="F48" i="2"/>
  <c r="F49" i="2"/>
  <c r="F50" i="2"/>
  <c r="G50" i="2" s="1"/>
  <c r="F51" i="2"/>
  <c r="F52" i="2"/>
  <c r="G52" i="2" s="1"/>
  <c r="F53" i="2"/>
  <c r="F54" i="2"/>
  <c r="F55" i="2"/>
  <c r="G55" i="2" s="1"/>
  <c r="F56" i="2"/>
  <c r="F57" i="2"/>
  <c r="F58" i="2"/>
  <c r="G58" i="2" s="1"/>
  <c r="F59" i="2"/>
  <c r="F60" i="2"/>
  <c r="F61" i="2"/>
  <c r="F62" i="2"/>
  <c r="F63" i="2"/>
  <c r="G63" i="2" s="1"/>
  <c r="F64" i="2"/>
  <c r="F65" i="2"/>
  <c r="F66" i="2"/>
  <c r="G66" i="2" s="1"/>
  <c r="F67" i="2"/>
  <c r="F68" i="2"/>
  <c r="F69" i="2"/>
  <c r="G69" i="2" s="1"/>
  <c r="F70" i="2"/>
  <c r="F71" i="2"/>
  <c r="G71" i="2" s="1"/>
  <c r="F72" i="2"/>
  <c r="G72" i="2" s="1"/>
  <c r="F73" i="2"/>
  <c r="F46" i="2"/>
  <c r="G46" i="2" s="1"/>
  <c r="E114" i="2"/>
  <c r="D114" i="2"/>
  <c r="C114" i="2"/>
  <c r="G90" i="2"/>
  <c r="G84" i="2"/>
  <c r="G82" i="2"/>
  <c r="D81" i="2"/>
  <c r="G81" i="2" s="1"/>
  <c r="G79" i="2"/>
  <c r="G73" i="2"/>
  <c r="G70" i="2"/>
  <c r="G68" i="2"/>
  <c r="G67" i="2"/>
  <c r="G65" i="2"/>
  <c r="G64" i="2"/>
  <c r="G60" i="2"/>
  <c r="G57" i="2"/>
  <c r="G56" i="2"/>
  <c r="G54" i="2"/>
  <c r="G53" i="2"/>
  <c r="G51" i="2"/>
  <c r="G49" i="2"/>
  <c r="G48" i="2"/>
  <c r="G40" i="2"/>
  <c r="G41" i="2" s="1"/>
  <c r="C106" i="2" s="1"/>
  <c r="G39" i="2"/>
  <c r="G28" i="2"/>
  <c r="G27" i="2"/>
  <c r="D26" i="2"/>
  <c r="G26" i="2" s="1"/>
  <c r="G25" i="2"/>
  <c r="G24" i="2"/>
  <c r="D24" i="2"/>
  <c r="D23" i="2"/>
  <c r="G23" i="2" s="1"/>
  <c r="G22" i="2"/>
  <c r="G21" i="2"/>
  <c r="G12" i="2"/>
  <c r="G30" i="2" l="1"/>
  <c r="C104" i="2" s="1"/>
  <c r="G85" i="2"/>
  <c r="C108" i="2" s="1"/>
  <c r="G74" i="2"/>
  <c r="C107" i="2" s="1"/>
  <c r="G79" i="1"/>
  <c r="G85" i="1"/>
  <c r="G74" i="1"/>
  <c r="G12" i="1"/>
  <c r="F83" i="1"/>
  <c r="F64" i="1"/>
  <c r="F65" i="1"/>
  <c r="D114" i="1"/>
  <c r="F82" i="1"/>
  <c r="G82" i="1" s="1"/>
  <c r="D81" i="1"/>
  <c r="G81" i="1" s="1"/>
  <c r="G80" i="1"/>
  <c r="G78" i="1"/>
  <c r="G87" i="2" l="1"/>
  <c r="G88" i="2" s="1"/>
  <c r="G73" i="1"/>
  <c r="G58" i="1"/>
  <c r="G57" i="1"/>
  <c r="G54" i="1"/>
  <c r="F55" i="1"/>
  <c r="F53" i="1"/>
  <c r="C109" i="2" l="1"/>
  <c r="G89" i="2"/>
  <c r="E114" i="1"/>
  <c r="C114" i="1"/>
  <c r="G84" i="1"/>
  <c r="G72" i="1"/>
  <c r="G71" i="1"/>
  <c r="G70" i="1"/>
  <c r="G69" i="1"/>
  <c r="G68" i="1"/>
  <c r="G67" i="1"/>
  <c r="G66" i="1"/>
  <c r="G65" i="1"/>
  <c r="G64" i="1"/>
  <c r="G63" i="1"/>
  <c r="G56" i="1"/>
  <c r="G55" i="1"/>
  <c r="G53" i="1"/>
  <c r="G52" i="1"/>
  <c r="G51" i="1"/>
  <c r="G50" i="1"/>
  <c r="D26" i="1"/>
  <c r="G26" i="1" s="1"/>
  <c r="D23" i="1"/>
  <c r="G23" i="1" s="1"/>
  <c r="G39" i="1"/>
  <c r="G28" i="1"/>
  <c r="G27" i="1"/>
  <c r="G25" i="1"/>
  <c r="D24" i="1"/>
  <c r="G24" i="1" s="1"/>
  <c r="G22" i="1"/>
  <c r="G21" i="1"/>
  <c r="D115" i="2" l="1"/>
  <c r="C115" i="2"/>
  <c r="E115" i="2"/>
  <c r="G91" i="2"/>
  <c r="C110" i="2"/>
  <c r="G83" i="1"/>
  <c r="G60" i="1"/>
  <c r="G49" i="1"/>
  <c r="G48" i="1"/>
  <c r="G46" i="1"/>
  <c r="G40" i="1"/>
  <c r="G90" i="1"/>
  <c r="D106" i="2" l="1"/>
  <c r="D104" i="2"/>
  <c r="D108" i="2"/>
  <c r="D107" i="2"/>
  <c r="D109" i="2"/>
  <c r="C107" i="1"/>
  <c r="C108" i="1"/>
  <c r="G30" i="1"/>
  <c r="G41" i="1"/>
  <c r="C106" i="1" s="1"/>
  <c r="D110" i="2" l="1"/>
  <c r="C104" i="1"/>
  <c r="G87" i="1"/>
  <c r="G88" i="1" s="1"/>
  <c r="G89" i="1" l="1"/>
  <c r="D115" i="1" s="1"/>
  <c r="C109" i="1"/>
  <c r="E115" i="1" l="1"/>
  <c r="C115" i="1"/>
  <c r="G91" i="1"/>
  <c r="C110" i="1"/>
  <c r="D109" i="1" s="1"/>
  <c r="D107" i="1" l="1"/>
  <c r="D104" i="1"/>
  <c r="D106" i="1"/>
  <c r="D108" i="1"/>
  <c r="D110" i="1" l="1"/>
</calcChain>
</file>

<file path=xl/sharedStrings.xml><?xml version="1.0" encoding="utf-8"?>
<sst xmlns="http://schemas.openxmlformats.org/spreadsheetml/2006/main" count="432" uniqueCount="145">
  <si>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</si>
  <si>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</si>
  <si>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</si>
  <si>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</si>
  <si>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</si>
  <si>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</si>
  <si>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</si>
  <si>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</si>
  <si>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</si>
  <si>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</si>
  <si>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</si>
  <si>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</si>
  <si>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</si>
  <si>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</si>
  <si>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</si>
  <si>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</si>
  <si>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</si>
  <si>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</si>
  <si>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</si>
  <si>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</si>
  <si>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</si>
  <si>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</si>
  <si>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</si>
  <si>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</si>
  <si>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</si>
  <si>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</si>
  <si>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</si>
  <si>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</si>
  <si>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</si>
  <si>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</si>
  <si>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</si>
  <si>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</si>
  <si>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</si>
  <si>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</si>
  <si>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</si>
  <si>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</si>
  <si>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</si>
  <si>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</si>
  <si>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</si>
  <si>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</si>
  <si>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</si>
  <si>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</si>
  <si>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</si>
  <si>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</si>
  <si>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</si>
  <si>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</si>
  <si>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</si>
  <si>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</si>
  <si>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</si>
  <si>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</si>
  <si>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</si>
  <si>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</si>
  <si>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</si>
  <si>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</si>
  <si>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</si>
  <si>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</si>
  <si>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</si>
  <si>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</si>
  <si>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</si>
  <si>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</si>
  <si>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</si>
  <si>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GERBERAS</t>
  </si>
  <si>
    <t>TIPO ESTÁNDAR</t>
  </si>
  <si>
    <t>VALPARAISO</t>
  </si>
  <si>
    <t>PROMEDIO AÑO</t>
  </si>
  <si>
    <t>PRECIO ESPERADO (VARA)</t>
  </si>
  <si>
    <t>M. NACIONAL</t>
  </si>
  <si>
    <t>TODO EL AÑO</t>
  </si>
  <si>
    <t>Preparación suelo</t>
  </si>
  <si>
    <t>Desinfeccion</t>
  </si>
  <si>
    <t>Deshoje</t>
  </si>
  <si>
    <t>J.M.</t>
  </si>
  <si>
    <t>OCT-NOV</t>
  </si>
  <si>
    <t>COSTOS DIRECTOS DE PRODUCCIÓN POR 4 INVERNADERO (INCLUYE IVA)</t>
  </si>
  <si>
    <t>J.H.</t>
  </si>
  <si>
    <t>Plantacion</t>
  </si>
  <si>
    <t>NOV - DIC</t>
  </si>
  <si>
    <t>Riego</t>
  </si>
  <si>
    <t>Cosecha y embalaje</t>
  </si>
  <si>
    <t>Labores de mantencion</t>
  </si>
  <si>
    <t>Desinfeccion suelo - Metan Sodio</t>
  </si>
  <si>
    <t>Litros</t>
  </si>
  <si>
    <t>noviembre</t>
  </si>
  <si>
    <t>Cambio polietileno</t>
  </si>
  <si>
    <t>MARZO</t>
  </si>
  <si>
    <t xml:space="preserve">Encamado e instalacion </t>
  </si>
  <si>
    <t>Valor por año (2 años duración)</t>
  </si>
  <si>
    <t>Planta</t>
  </si>
  <si>
    <t>Noviembre</t>
  </si>
  <si>
    <t>Todo el año</t>
  </si>
  <si>
    <t>Nitrato de calcio</t>
  </si>
  <si>
    <t>Extracto Algas</t>
  </si>
  <si>
    <t>Gramoxone</t>
  </si>
  <si>
    <t>Vertimec</t>
  </si>
  <si>
    <t>Applaud</t>
  </si>
  <si>
    <t>Engeo</t>
  </si>
  <si>
    <t>Gladiador</t>
  </si>
  <si>
    <t>Chess</t>
  </si>
  <si>
    <t>INSECTICIDAS - FUNGICIDAS</t>
  </si>
  <si>
    <t xml:space="preserve">Neres </t>
  </si>
  <si>
    <t>Trigard</t>
  </si>
  <si>
    <t>Break</t>
  </si>
  <si>
    <t>Topas</t>
  </si>
  <si>
    <t>Tebuconazole</t>
  </si>
  <si>
    <t>Complejo Biologico EM1</t>
  </si>
  <si>
    <t>Mallas protectoras</t>
  </si>
  <si>
    <t>20 l</t>
  </si>
  <si>
    <t>1 l</t>
  </si>
  <si>
    <t>1 kg</t>
  </si>
  <si>
    <t>sobre 50 gr</t>
  </si>
  <si>
    <t>sobre 100 gr</t>
  </si>
  <si>
    <t>sobre 30 gr</t>
  </si>
  <si>
    <t xml:space="preserve">fardo </t>
  </si>
  <si>
    <t>todo el año</t>
  </si>
  <si>
    <t>Costo unitario ($/vara)</t>
  </si>
  <si>
    <t>PLANTAS</t>
  </si>
  <si>
    <t>Nitrato Potasio</t>
  </si>
  <si>
    <t xml:space="preserve">Nitrato de amonio </t>
  </si>
  <si>
    <t>Nitrato de magnesio</t>
  </si>
  <si>
    <t>Fosfato Monopotasico</t>
  </si>
  <si>
    <t xml:space="preserve">Fierro Quelatado 6% </t>
  </si>
  <si>
    <t>2,5 kg</t>
  </si>
  <si>
    <t>Microelementos /fetrilon combi</t>
  </si>
  <si>
    <t>2 kg</t>
  </si>
  <si>
    <t>Acido Fósforico</t>
  </si>
  <si>
    <t>20 kg</t>
  </si>
  <si>
    <t>Bioestimulante foliar</t>
  </si>
  <si>
    <t>250 cc</t>
  </si>
  <si>
    <t>Previcur</t>
  </si>
  <si>
    <t>Protectores aplicacdores</t>
  </si>
  <si>
    <t>set</t>
  </si>
  <si>
    <t>Polietileno reparacion 50 %  del total</t>
  </si>
  <si>
    <t>rollo 100 m</t>
  </si>
  <si>
    <t>marzo-abril</t>
  </si>
  <si>
    <t>Maderas reposicion</t>
  </si>
  <si>
    <t>paq 50 un</t>
  </si>
  <si>
    <t>Repocision cintas de riego</t>
  </si>
  <si>
    <t>m</t>
  </si>
  <si>
    <t>Electricidad riego</t>
  </si>
  <si>
    <t>mes</t>
  </si>
  <si>
    <t>$/ 4 invernaderos</t>
  </si>
  <si>
    <t>ESCENARIOS COSTO UNITARIO  ($/vara)</t>
  </si>
  <si>
    <t>Rendimiento (varas/año x 4 inv)</t>
  </si>
  <si>
    <t>LA CALERA</t>
  </si>
  <si>
    <t>RENDIMIENTO (u/Há.)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</si>
</sst>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42" fontId="19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18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 applyAlignment="1"/>
    <xf numFmtId="3" fontId="4" fillId="2" borderId="57" xfId="0" applyNumberFormat="1" applyFont="1" applyFill="1" applyBorder="1" applyAlignment="1"/>
    <xf numFmtId="49" fontId="4" fillId="2" borderId="57" xfId="0" applyNumberFormat="1" applyFont="1" applyFill="1" applyBorder="1" applyAlignment="1"/>
    <xf numFmtId="42" fontId="0" fillId="0" borderId="0" xfId="1" applyFont="1" applyAlignment="1"/>
    <xf numFmtId="3" fontId="4" fillId="10" borderId="6" xfId="0" applyNumberFormat="1" applyFont="1" applyFill="1" applyBorder="1" applyAlignment="1"/>
    <xf numFmtId="3" fontId="4" fillId="10" borderId="57" xfId="0" applyNumberFormat="1" applyFont="1" applyFill="1" applyBorder="1" applyAlignment="1"/>
    <xf numFmtId="3" fontId="4" fillId="10" borderId="19" xfId="0" applyNumberFormat="1" applyFont="1" applyFill="1" applyBorder="1" applyAlignment="1"/>
    <xf numFmtId="165" fontId="4" fillId="10" borderId="6" xfId="0" applyNumberFormat="1" applyFont="1" applyFill="1" applyBorder="1" applyAlignment="1"/>
    <xf numFmtId="41" fontId="13" fillId="8" borderId="55" xfId="2" applyFont="1" applyFill="1" applyBorder="1" applyAlignment="1">
      <alignment vertical="center"/>
    </xf>
    <xf numFmtId="41" fontId="13" fillId="8" borderId="56" xfId="2" applyFont="1" applyFill="1" applyBorder="1" applyAlignment="1">
      <alignment vertical="center"/>
    </xf>
    <xf numFmtId="3" fontId="21" fillId="0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49" fontId="12" fillId="2" borderId="6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/>
    <xf numFmtId="49" fontId="12" fillId="2" borderId="6" xfId="0" applyNumberFormat="1" applyFont="1" applyFill="1" applyBorder="1" applyAlignment="1">
      <alignment horizontal="right" wrapText="1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  <xf numFmtId="3" fontId="12" fillId="2" borderId="6" xfId="0" applyNumberFormat="1" applyFont="1" applyFill="1" applyBorder="1" applyAlignment="1">
      <alignment horizontal="right" wrapText="1"/>
    </xf>
    <xf numFmtId="14" fontId="12" fillId="2" borderId="6" xfId="0" applyNumberFormat="1" applyFont="1" applyFill="1" applyBorder="1" applyAlignment="1">
      <alignment horizontal="right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</cellXfs>
  <cellStyles count="3">
    <cellStyle name="Millares [0]" xfId="2" builtinId="6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757237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800100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6072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6"/>
  <sheetViews>
    <sheetView showGridLines="0" tabSelected="1" zoomScale="120" zoomScaleNormal="12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8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8" width="12" style="1" bestFit="1" customWidth="1"/>
    <col min="9" max="247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61</v>
      </c>
      <c r="D9" s="8"/>
      <c r="E9" s="164" t="s">
        <v>144</v>
      </c>
      <c r="F9" s="165"/>
      <c r="G9" s="156">
        <v>96000</v>
      </c>
    </row>
    <row r="10" spans="1:7" ht="38.25" customHeight="1" x14ac:dyDescent="0.3">
      <c r="A10" s="5"/>
      <c r="B10" s="9" t="s">
        <v>1</v>
      </c>
      <c r="C10" s="10" t="s">
        <v>62</v>
      </c>
      <c r="D10" s="11"/>
      <c r="E10" s="162" t="s">
        <v>2</v>
      </c>
      <c r="F10" s="163"/>
      <c r="G10" s="13" t="s">
        <v>64</v>
      </c>
    </row>
    <row r="11" spans="1:7" ht="18" customHeight="1" x14ac:dyDescent="0.3">
      <c r="A11" s="5"/>
      <c r="B11" s="9" t="s">
        <v>3</v>
      </c>
      <c r="C11" s="13" t="s">
        <v>4</v>
      </c>
      <c r="D11" s="11"/>
      <c r="E11" s="162" t="s">
        <v>65</v>
      </c>
      <c r="F11" s="163"/>
      <c r="G11" s="14">
        <v>300</v>
      </c>
    </row>
    <row r="12" spans="1:7" ht="16.8" customHeight="1" x14ac:dyDescent="0.3">
      <c r="A12" s="5"/>
      <c r="B12" s="9" t="s">
        <v>5</v>
      </c>
      <c r="C12" s="15" t="s">
        <v>63</v>
      </c>
      <c r="D12" s="11"/>
      <c r="E12" s="16" t="s">
        <v>6</v>
      </c>
      <c r="F12" s="17"/>
      <c r="G12" s="18">
        <f>+D114*G11</f>
        <v>28800000</v>
      </c>
    </row>
    <row r="13" spans="1:7" ht="11.25" customHeight="1" x14ac:dyDescent="0.3">
      <c r="A13" s="5"/>
      <c r="B13" s="9" t="s">
        <v>7</v>
      </c>
      <c r="C13" s="13" t="s">
        <v>143</v>
      </c>
      <c r="D13" s="11"/>
      <c r="E13" s="162" t="s">
        <v>8</v>
      </c>
      <c r="F13" s="163"/>
      <c r="G13" s="13" t="s">
        <v>66</v>
      </c>
    </row>
    <row r="14" spans="1:7" ht="13.5" customHeight="1" x14ac:dyDescent="0.3">
      <c r="A14" s="5"/>
      <c r="B14" s="9" t="s">
        <v>9</v>
      </c>
      <c r="C14" s="13" t="s">
        <v>60</v>
      </c>
      <c r="D14" s="11"/>
      <c r="E14" s="162" t="s">
        <v>10</v>
      </c>
      <c r="F14" s="163"/>
      <c r="G14" s="13" t="s">
        <v>67</v>
      </c>
    </row>
    <row r="15" spans="1:7" ht="25.5" customHeight="1" x14ac:dyDescent="0.3">
      <c r="A15" s="5"/>
      <c r="B15" s="9" t="s">
        <v>11</v>
      </c>
      <c r="C15" s="19">
        <v>44621</v>
      </c>
      <c r="D15" s="11"/>
      <c r="E15" s="166" t="s">
        <v>12</v>
      </c>
      <c r="F15" s="167"/>
      <c r="G15" s="15"/>
    </row>
    <row r="16" spans="1:7" ht="12" customHeight="1" x14ac:dyDescent="0.3">
      <c r="A16" s="2"/>
      <c r="B16" s="20"/>
      <c r="C16" s="21"/>
      <c r="D16" s="22"/>
      <c r="E16" s="23"/>
      <c r="F16" s="23"/>
      <c r="G16" s="24"/>
    </row>
    <row r="17" spans="1:7" ht="12" customHeight="1" x14ac:dyDescent="0.3">
      <c r="A17" s="25"/>
      <c r="B17" s="168" t="s">
        <v>73</v>
      </c>
      <c r="C17" s="169"/>
      <c r="D17" s="169"/>
      <c r="E17" s="169"/>
      <c r="F17" s="169"/>
      <c r="G17" s="169"/>
    </row>
    <row r="18" spans="1:7" ht="12" customHeight="1" x14ac:dyDescent="0.3">
      <c r="A18" s="2"/>
      <c r="B18" s="26"/>
      <c r="C18" s="27"/>
      <c r="D18" s="27"/>
      <c r="E18" s="27"/>
      <c r="F18" s="28"/>
      <c r="G18" s="28"/>
    </row>
    <row r="19" spans="1:7" ht="12" customHeight="1" x14ac:dyDescent="0.3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 x14ac:dyDescent="0.3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2.75" customHeight="1" x14ac:dyDescent="0.3">
      <c r="A21" s="25"/>
      <c r="B21" s="141" t="s">
        <v>85</v>
      </c>
      <c r="C21" s="33" t="s">
        <v>74</v>
      </c>
      <c r="D21" s="34">
        <v>4</v>
      </c>
      <c r="E21" s="141" t="s">
        <v>72</v>
      </c>
      <c r="F21" s="18">
        <v>25000</v>
      </c>
      <c r="G21" s="18">
        <f t="shared" ref="G21:G28" si="0">+F21*D21</f>
        <v>100000</v>
      </c>
    </row>
    <row r="22" spans="1:7" ht="12.75" customHeight="1" x14ac:dyDescent="0.3">
      <c r="A22" s="25"/>
      <c r="B22" s="141" t="s">
        <v>75</v>
      </c>
      <c r="C22" s="33" t="s">
        <v>74</v>
      </c>
      <c r="D22" s="34">
        <v>1</v>
      </c>
      <c r="E22" s="141" t="s">
        <v>76</v>
      </c>
      <c r="F22" s="18">
        <v>25000</v>
      </c>
      <c r="G22" s="18">
        <f t="shared" si="0"/>
        <v>25000</v>
      </c>
    </row>
    <row r="23" spans="1:7" ht="12.75" customHeight="1" x14ac:dyDescent="0.3">
      <c r="A23" s="25"/>
      <c r="B23" s="141" t="s">
        <v>77</v>
      </c>
      <c r="C23" s="33" t="s">
        <v>74</v>
      </c>
      <c r="D23" s="34">
        <f>1*4*12</f>
        <v>48</v>
      </c>
      <c r="E23" s="141" t="s">
        <v>67</v>
      </c>
      <c r="F23" s="18">
        <v>25000</v>
      </c>
      <c r="G23" s="18">
        <f t="shared" si="0"/>
        <v>1200000</v>
      </c>
    </row>
    <row r="24" spans="1:7" ht="12.75" customHeight="1" x14ac:dyDescent="0.3">
      <c r="A24" s="25"/>
      <c r="B24" s="141" t="s">
        <v>69</v>
      </c>
      <c r="C24" s="33" t="s">
        <v>74</v>
      </c>
      <c r="D24" s="34">
        <f>0.5*4*12</f>
        <v>24</v>
      </c>
      <c r="E24" s="141" t="s">
        <v>67</v>
      </c>
      <c r="F24" s="18">
        <v>25000</v>
      </c>
      <c r="G24" s="18">
        <f t="shared" si="0"/>
        <v>600000</v>
      </c>
    </row>
    <row r="25" spans="1:7" ht="12.75" customHeight="1" x14ac:dyDescent="0.3">
      <c r="A25" s="25"/>
      <c r="B25" s="141" t="s">
        <v>70</v>
      </c>
      <c r="C25" s="33" t="s">
        <v>74</v>
      </c>
      <c r="D25" s="34">
        <v>12</v>
      </c>
      <c r="E25" s="141" t="s">
        <v>67</v>
      </c>
      <c r="F25" s="18">
        <v>25000</v>
      </c>
      <c r="G25" s="18">
        <f t="shared" si="0"/>
        <v>300000</v>
      </c>
    </row>
    <row r="26" spans="1:7" ht="12.75" customHeight="1" x14ac:dyDescent="0.3">
      <c r="A26" s="25"/>
      <c r="B26" s="141" t="s">
        <v>78</v>
      </c>
      <c r="C26" s="33" t="s">
        <v>74</v>
      </c>
      <c r="D26" s="34">
        <f>2*4*12</f>
        <v>96</v>
      </c>
      <c r="E26" s="141" t="s">
        <v>67</v>
      </c>
      <c r="F26" s="18">
        <v>25000</v>
      </c>
      <c r="G26" s="18">
        <f t="shared" si="0"/>
        <v>2400000</v>
      </c>
    </row>
    <row r="27" spans="1:7" ht="12.75" customHeight="1" x14ac:dyDescent="0.3">
      <c r="A27" s="25"/>
      <c r="B27" s="141" t="s">
        <v>79</v>
      </c>
      <c r="C27" s="33" t="s">
        <v>74</v>
      </c>
      <c r="D27" s="34">
        <v>50</v>
      </c>
      <c r="E27" s="141" t="s">
        <v>67</v>
      </c>
      <c r="F27" s="18">
        <v>25000</v>
      </c>
      <c r="G27" s="18">
        <f t="shared" si="0"/>
        <v>1250000</v>
      </c>
    </row>
    <row r="28" spans="1:7" ht="14.4" x14ac:dyDescent="0.3">
      <c r="A28" s="25"/>
      <c r="B28" s="12" t="s">
        <v>83</v>
      </c>
      <c r="C28" s="33" t="s">
        <v>74</v>
      </c>
      <c r="D28" s="34">
        <v>7.5</v>
      </c>
      <c r="E28" s="12" t="s">
        <v>84</v>
      </c>
      <c r="F28" s="18">
        <v>40000</v>
      </c>
      <c r="G28" s="18">
        <f t="shared" si="0"/>
        <v>300000</v>
      </c>
    </row>
    <row r="29" spans="1:7" ht="12.75" customHeight="1" x14ac:dyDescent="0.3">
      <c r="A29" s="25"/>
      <c r="B29" s="12"/>
      <c r="C29" s="33"/>
      <c r="D29" s="34"/>
      <c r="E29" s="12"/>
      <c r="F29" s="18"/>
      <c r="G29" s="18"/>
    </row>
    <row r="30" spans="1:7" ht="12.75" customHeight="1" x14ac:dyDescent="0.3">
      <c r="A30" s="25"/>
      <c r="B30" s="35" t="s">
        <v>20</v>
      </c>
      <c r="C30" s="36"/>
      <c r="D30" s="36"/>
      <c r="E30" s="36"/>
      <c r="F30" s="37"/>
      <c r="G30" s="38">
        <f>SUM(G21:G29)</f>
        <v>6175000</v>
      </c>
    </row>
    <row r="31" spans="1:7" ht="12" customHeight="1" x14ac:dyDescent="0.3">
      <c r="A31" s="2"/>
      <c r="B31" s="26"/>
      <c r="C31" s="28"/>
      <c r="D31" s="28"/>
      <c r="E31" s="28"/>
      <c r="F31" s="39"/>
      <c r="G31" s="39"/>
    </row>
    <row r="32" spans="1:7" ht="12" customHeight="1" x14ac:dyDescent="0.3">
      <c r="A32" s="5"/>
      <c r="B32" s="40" t="s">
        <v>21</v>
      </c>
      <c r="C32" s="41"/>
      <c r="D32" s="42"/>
      <c r="E32" s="42"/>
      <c r="F32" s="43"/>
      <c r="G32" s="43"/>
    </row>
    <row r="33" spans="1:7" ht="24" customHeight="1" x14ac:dyDescent="0.3">
      <c r="A33" s="5"/>
      <c r="B33" s="44" t="s">
        <v>14</v>
      </c>
      <c r="C33" s="45" t="s">
        <v>15</v>
      </c>
      <c r="D33" s="45" t="s">
        <v>16</v>
      </c>
      <c r="E33" s="44" t="s">
        <v>17</v>
      </c>
      <c r="F33" s="45" t="s">
        <v>18</v>
      </c>
      <c r="G33" s="44" t="s">
        <v>19</v>
      </c>
    </row>
    <row r="34" spans="1:7" ht="12" customHeight="1" x14ac:dyDescent="0.3">
      <c r="A34" s="5"/>
      <c r="B34" s="46"/>
      <c r="C34" s="47"/>
      <c r="D34" s="47"/>
      <c r="E34" s="47"/>
      <c r="F34" s="46"/>
      <c r="G34" s="46"/>
    </row>
    <row r="35" spans="1:7" ht="12" customHeight="1" x14ac:dyDescent="0.3">
      <c r="A35" s="5"/>
      <c r="B35" s="48" t="s">
        <v>22</v>
      </c>
      <c r="C35" s="49"/>
      <c r="D35" s="49"/>
      <c r="E35" s="49"/>
      <c r="F35" s="50"/>
      <c r="G35" s="50"/>
    </row>
    <row r="36" spans="1:7" ht="12" customHeight="1" x14ac:dyDescent="0.3">
      <c r="A36" s="2"/>
      <c r="B36" s="12"/>
      <c r="C36" s="33"/>
      <c r="D36" s="34"/>
      <c r="E36" s="12"/>
      <c r="F36" s="18"/>
      <c r="G36" s="18"/>
    </row>
    <row r="37" spans="1:7" ht="12" customHeight="1" x14ac:dyDescent="0.3">
      <c r="A37" s="5"/>
      <c r="B37" s="40" t="s">
        <v>23</v>
      </c>
      <c r="C37" s="41"/>
      <c r="D37" s="42"/>
      <c r="E37" s="42"/>
      <c r="F37" s="43"/>
      <c r="G37" s="43"/>
    </row>
    <row r="38" spans="1:7" ht="24" customHeight="1" x14ac:dyDescent="0.3">
      <c r="A38" s="5"/>
      <c r="B38" s="54" t="s">
        <v>14</v>
      </c>
      <c r="C38" s="54" t="s">
        <v>15</v>
      </c>
      <c r="D38" s="54" t="s">
        <v>16</v>
      </c>
      <c r="E38" s="54" t="s">
        <v>17</v>
      </c>
      <c r="F38" s="55" t="s">
        <v>18</v>
      </c>
      <c r="G38" s="54" t="s">
        <v>19</v>
      </c>
    </row>
    <row r="39" spans="1:7" ht="12.75" customHeight="1" x14ac:dyDescent="0.3">
      <c r="A39" s="25"/>
      <c r="B39" s="141" t="s">
        <v>68</v>
      </c>
      <c r="C39" s="33" t="s">
        <v>71</v>
      </c>
      <c r="D39" s="34">
        <v>0.6</v>
      </c>
      <c r="E39" s="141" t="s">
        <v>72</v>
      </c>
      <c r="F39" s="18">
        <v>176000</v>
      </c>
      <c r="G39" s="18">
        <f>+D39*F39</f>
        <v>105600</v>
      </c>
    </row>
    <row r="40" spans="1:7" ht="12.75" customHeight="1" x14ac:dyDescent="0.3">
      <c r="A40" s="25"/>
      <c r="B40" s="56"/>
      <c r="C40" s="57"/>
      <c r="D40" s="58"/>
      <c r="E40" s="59"/>
      <c r="F40" s="60"/>
      <c r="G40" s="60">
        <f t="shared" ref="G40" si="1">(D40*F40)</f>
        <v>0</v>
      </c>
    </row>
    <row r="41" spans="1:7" ht="12.75" customHeight="1" x14ac:dyDescent="0.3">
      <c r="A41" s="5"/>
      <c r="B41" s="61" t="s">
        <v>24</v>
      </c>
      <c r="C41" s="62"/>
      <c r="D41" s="62"/>
      <c r="E41" s="62"/>
      <c r="F41" s="63"/>
      <c r="G41" s="64">
        <f>SUM(G39:G40)</f>
        <v>105600</v>
      </c>
    </row>
    <row r="42" spans="1:7" ht="12" customHeight="1" x14ac:dyDescent="0.3">
      <c r="A42" s="2"/>
      <c r="B42" s="51"/>
      <c r="C42" s="52"/>
      <c r="D42" s="52"/>
      <c r="E42" s="52"/>
      <c r="F42" s="53"/>
      <c r="G42" s="53"/>
    </row>
    <row r="43" spans="1:7" ht="12" customHeight="1" x14ac:dyDescent="0.3">
      <c r="A43" s="5"/>
      <c r="B43" s="40" t="s">
        <v>25</v>
      </c>
      <c r="C43" s="41"/>
      <c r="D43" s="42"/>
      <c r="E43" s="42"/>
      <c r="F43" s="43"/>
      <c r="G43" s="43"/>
    </row>
    <row r="44" spans="1:7" ht="24" customHeight="1" x14ac:dyDescent="0.3">
      <c r="A44" s="5"/>
      <c r="B44" s="55" t="s">
        <v>26</v>
      </c>
      <c r="C44" s="55" t="s">
        <v>27</v>
      </c>
      <c r="D44" s="55" t="s">
        <v>28</v>
      </c>
      <c r="E44" s="55" t="s">
        <v>17</v>
      </c>
      <c r="F44" s="55" t="s">
        <v>18</v>
      </c>
      <c r="G44" s="55" t="s">
        <v>19</v>
      </c>
    </row>
    <row r="45" spans="1:7" ht="12.75" customHeight="1" x14ac:dyDescent="0.3">
      <c r="A45" s="25"/>
      <c r="B45" s="65" t="s">
        <v>115</v>
      </c>
      <c r="C45" s="66"/>
      <c r="D45" s="66"/>
      <c r="E45" s="66"/>
      <c r="F45" s="66"/>
      <c r="G45" s="66"/>
    </row>
    <row r="46" spans="1:7" ht="12.75" customHeight="1" x14ac:dyDescent="0.3">
      <c r="A46" s="25"/>
      <c r="B46" s="16" t="s">
        <v>86</v>
      </c>
      <c r="C46" s="67" t="s">
        <v>87</v>
      </c>
      <c r="D46" s="68">
        <v>2000</v>
      </c>
      <c r="E46" s="67" t="s">
        <v>88</v>
      </c>
      <c r="F46" s="69">
        <v>2400</v>
      </c>
      <c r="G46" s="69">
        <f>(D46*F46)</f>
        <v>4800000</v>
      </c>
    </row>
    <row r="47" spans="1:7" ht="12.75" customHeight="1" x14ac:dyDescent="0.3">
      <c r="A47" s="25"/>
      <c r="B47" s="70" t="s">
        <v>29</v>
      </c>
      <c r="C47" s="71"/>
      <c r="D47" s="17"/>
      <c r="E47" s="71"/>
      <c r="F47" s="69"/>
      <c r="G47" s="69"/>
    </row>
    <row r="48" spans="1:7" ht="12.75" customHeight="1" x14ac:dyDescent="0.3">
      <c r="A48" s="25"/>
      <c r="B48" s="142" t="s">
        <v>116</v>
      </c>
      <c r="C48" s="71" t="s">
        <v>30</v>
      </c>
      <c r="D48" s="143">
        <v>75</v>
      </c>
      <c r="E48" s="71" t="s">
        <v>113</v>
      </c>
      <c r="F48" s="69">
        <v>1880</v>
      </c>
      <c r="G48" s="69">
        <f>(D48*F48)</f>
        <v>141000</v>
      </c>
    </row>
    <row r="49" spans="1:7" ht="12.75" customHeight="1" x14ac:dyDescent="0.3">
      <c r="A49" s="25"/>
      <c r="B49" s="142" t="s">
        <v>117</v>
      </c>
      <c r="C49" s="71" t="s">
        <v>30</v>
      </c>
      <c r="D49" s="143">
        <v>25</v>
      </c>
      <c r="E49" s="71" t="s">
        <v>113</v>
      </c>
      <c r="F49" s="69">
        <v>1000</v>
      </c>
      <c r="G49" s="69">
        <f>(D49*F49)</f>
        <v>25000</v>
      </c>
    </row>
    <row r="50" spans="1:7" ht="12.75" customHeight="1" x14ac:dyDescent="0.3">
      <c r="A50" s="25"/>
      <c r="B50" s="142" t="s">
        <v>118</v>
      </c>
      <c r="C50" s="67" t="s">
        <v>30</v>
      </c>
      <c r="D50" s="68">
        <v>25</v>
      </c>
      <c r="E50" s="67" t="s">
        <v>113</v>
      </c>
      <c r="F50" s="69">
        <v>720</v>
      </c>
      <c r="G50" s="69">
        <f t="shared" ref="G50:G58" si="2">+F50*D50</f>
        <v>18000</v>
      </c>
    </row>
    <row r="51" spans="1:7" ht="12.75" customHeight="1" x14ac:dyDescent="0.3">
      <c r="A51" s="25"/>
      <c r="B51" s="142" t="s">
        <v>119</v>
      </c>
      <c r="C51" s="67" t="s">
        <v>31</v>
      </c>
      <c r="D51" s="68">
        <v>25</v>
      </c>
      <c r="E51" s="67" t="s">
        <v>113</v>
      </c>
      <c r="F51" s="69">
        <v>1800</v>
      </c>
      <c r="G51" s="69">
        <f t="shared" si="2"/>
        <v>45000</v>
      </c>
    </row>
    <row r="52" spans="1:7" ht="12.75" customHeight="1" x14ac:dyDescent="0.3">
      <c r="A52" s="25"/>
      <c r="B52" s="142" t="s">
        <v>90</v>
      </c>
      <c r="C52" s="67" t="s">
        <v>30</v>
      </c>
      <c r="D52" s="68">
        <v>50</v>
      </c>
      <c r="E52" s="67" t="s">
        <v>113</v>
      </c>
      <c r="F52" s="69">
        <v>885</v>
      </c>
      <c r="G52" s="69">
        <f t="shared" si="2"/>
        <v>44250</v>
      </c>
    </row>
    <row r="53" spans="1:7" ht="12.75" customHeight="1" x14ac:dyDescent="0.3">
      <c r="A53" s="25"/>
      <c r="B53" s="142" t="s">
        <v>120</v>
      </c>
      <c r="C53" s="67" t="s">
        <v>121</v>
      </c>
      <c r="D53" s="68">
        <v>1</v>
      </c>
      <c r="E53" s="67" t="s">
        <v>113</v>
      </c>
      <c r="F53" s="150">
        <f>22338*1.19</f>
        <v>26582.219999999998</v>
      </c>
      <c r="G53" s="69">
        <f t="shared" si="2"/>
        <v>26582.219999999998</v>
      </c>
    </row>
    <row r="54" spans="1:7" ht="12.75" customHeight="1" x14ac:dyDescent="0.3">
      <c r="A54" s="25"/>
      <c r="B54" s="142" t="s">
        <v>124</v>
      </c>
      <c r="C54" s="67" t="s">
        <v>125</v>
      </c>
      <c r="D54" s="68">
        <v>1</v>
      </c>
      <c r="E54" s="67" t="s">
        <v>113</v>
      </c>
      <c r="F54" s="150">
        <v>81000</v>
      </c>
      <c r="G54" s="69">
        <f t="shared" si="2"/>
        <v>81000</v>
      </c>
    </row>
    <row r="55" spans="1:7" ht="12.75" customHeight="1" x14ac:dyDescent="0.3">
      <c r="A55" s="25"/>
      <c r="B55" s="142" t="s">
        <v>122</v>
      </c>
      <c r="C55" s="67" t="s">
        <v>123</v>
      </c>
      <c r="D55" s="68">
        <v>2</v>
      </c>
      <c r="E55" s="67" t="s">
        <v>113</v>
      </c>
      <c r="F55" s="69">
        <f>34000*1.19</f>
        <v>40460</v>
      </c>
      <c r="G55" s="69">
        <f t="shared" si="2"/>
        <v>80920</v>
      </c>
    </row>
    <row r="56" spans="1:7" ht="12.75" customHeight="1" x14ac:dyDescent="0.3">
      <c r="A56" s="25"/>
      <c r="B56" s="142" t="s">
        <v>104</v>
      </c>
      <c r="C56" s="67" t="s">
        <v>106</v>
      </c>
      <c r="D56" s="68">
        <v>2</v>
      </c>
      <c r="E56" s="67" t="s">
        <v>89</v>
      </c>
      <c r="F56" s="150">
        <v>70353</v>
      </c>
      <c r="G56" s="69">
        <f t="shared" si="2"/>
        <v>140706</v>
      </c>
    </row>
    <row r="57" spans="1:7" ht="12.75" customHeight="1" x14ac:dyDescent="0.3">
      <c r="A57" s="25"/>
      <c r="B57" s="142" t="s">
        <v>91</v>
      </c>
      <c r="C57" s="67" t="s">
        <v>106</v>
      </c>
      <c r="D57" s="68">
        <v>1</v>
      </c>
      <c r="E57" s="67" t="s">
        <v>113</v>
      </c>
      <c r="F57" s="150">
        <v>21000</v>
      </c>
      <c r="G57" s="69">
        <f t="shared" si="2"/>
        <v>21000</v>
      </c>
    </row>
    <row r="58" spans="1:7" ht="12.75" customHeight="1" x14ac:dyDescent="0.3">
      <c r="A58" s="25"/>
      <c r="B58" s="142" t="s">
        <v>126</v>
      </c>
      <c r="C58" s="67" t="s">
        <v>33</v>
      </c>
      <c r="D58" s="68">
        <v>4</v>
      </c>
      <c r="E58" s="67" t="s">
        <v>113</v>
      </c>
      <c r="F58" s="150">
        <v>21840</v>
      </c>
      <c r="G58" s="69">
        <f t="shared" si="2"/>
        <v>87360</v>
      </c>
    </row>
    <row r="59" spans="1:7" ht="12.75" customHeight="1" x14ac:dyDescent="0.3">
      <c r="A59" s="25"/>
      <c r="B59" s="70" t="s">
        <v>32</v>
      </c>
      <c r="C59" s="71"/>
      <c r="D59" s="17"/>
      <c r="E59" s="71"/>
      <c r="F59" s="69"/>
      <c r="G59" s="69"/>
    </row>
    <row r="60" spans="1:7" ht="12.75" customHeight="1" x14ac:dyDescent="0.3">
      <c r="A60" s="25"/>
      <c r="B60" s="16" t="s">
        <v>92</v>
      </c>
      <c r="C60" s="67" t="s">
        <v>33</v>
      </c>
      <c r="D60" s="68">
        <v>1</v>
      </c>
      <c r="E60" s="67" t="s">
        <v>89</v>
      </c>
      <c r="F60" s="150">
        <v>17350</v>
      </c>
      <c r="G60" s="69">
        <f>(D60*F60)</f>
        <v>17350</v>
      </c>
    </row>
    <row r="61" spans="1:7" ht="12.75" customHeight="1" x14ac:dyDescent="0.3">
      <c r="A61" s="25"/>
      <c r="B61" s="16"/>
      <c r="C61" s="67"/>
      <c r="D61" s="68"/>
      <c r="E61" s="67"/>
      <c r="F61" s="69"/>
      <c r="G61" s="69"/>
    </row>
    <row r="62" spans="1:7" ht="12.75" customHeight="1" x14ac:dyDescent="0.3">
      <c r="A62" s="25"/>
      <c r="B62" s="70" t="s">
        <v>98</v>
      </c>
      <c r="C62" s="71"/>
      <c r="D62" s="17"/>
      <c r="E62" s="71"/>
      <c r="F62" s="69"/>
      <c r="G62" s="69"/>
    </row>
    <row r="63" spans="1:7" ht="12.75" customHeight="1" x14ac:dyDescent="0.3">
      <c r="A63" s="25"/>
      <c r="B63" s="148" t="s">
        <v>93</v>
      </c>
      <c r="C63" s="145" t="s">
        <v>107</v>
      </c>
      <c r="D63" s="146">
        <v>1</v>
      </c>
      <c r="E63" s="145" t="s">
        <v>89</v>
      </c>
      <c r="F63" s="151">
        <v>31178</v>
      </c>
      <c r="G63" s="147">
        <f t="shared" ref="G63:G73" si="3">+F63*D63</f>
        <v>31178</v>
      </c>
    </row>
    <row r="64" spans="1:7" ht="12.75" customHeight="1" x14ac:dyDescent="0.3">
      <c r="A64" s="25"/>
      <c r="B64" s="148" t="s">
        <v>94</v>
      </c>
      <c r="C64" s="145" t="s">
        <v>108</v>
      </c>
      <c r="D64" s="146">
        <v>1</v>
      </c>
      <c r="E64" s="145" t="s">
        <v>89</v>
      </c>
      <c r="F64" s="151">
        <f>32000*1.3</f>
        <v>41600</v>
      </c>
      <c r="G64" s="147">
        <f t="shared" si="3"/>
        <v>41600</v>
      </c>
    </row>
    <row r="65" spans="1:7" ht="12.75" customHeight="1" x14ac:dyDescent="0.3">
      <c r="A65" s="25"/>
      <c r="B65" s="148" t="s">
        <v>95</v>
      </c>
      <c r="C65" s="145" t="s">
        <v>127</v>
      </c>
      <c r="D65" s="146">
        <v>2</v>
      </c>
      <c r="E65" s="145" t="s">
        <v>89</v>
      </c>
      <c r="F65" s="151">
        <f>95010*1.19/4</f>
        <v>28265.474999999999</v>
      </c>
      <c r="G65" s="147">
        <f t="shared" si="3"/>
        <v>56530.95</v>
      </c>
    </row>
    <row r="66" spans="1:7" ht="12.75" customHeight="1" x14ac:dyDescent="0.3">
      <c r="A66" s="25"/>
      <c r="B66" s="148" t="s">
        <v>96</v>
      </c>
      <c r="C66" s="145" t="s">
        <v>109</v>
      </c>
      <c r="D66" s="146">
        <v>8</v>
      </c>
      <c r="E66" s="145" t="s">
        <v>89</v>
      </c>
      <c r="F66" s="151">
        <v>10400</v>
      </c>
      <c r="G66" s="147">
        <f t="shared" si="3"/>
        <v>83200</v>
      </c>
    </row>
    <row r="67" spans="1:7" ht="12.75" customHeight="1" x14ac:dyDescent="0.3">
      <c r="A67" s="25"/>
      <c r="B67" s="148" t="s">
        <v>97</v>
      </c>
      <c r="C67" s="145" t="s">
        <v>108</v>
      </c>
      <c r="D67" s="146">
        <v>1</v>
      </c>
      <c r="E67" s="145" t="s">
        <v>89</v>
      </c>
      <c r="F67" s="151">
        <v>104000</v>
      </c>
      <c r="G67" s="147">
        <f t="shared" si="3"/>
        <v>104000</v>
      </c>
    </row>
    <row r="68" spans="1:7" ht="12.75" customHeight="1" x14ac:dyDescent="0.3">
      <c r="A68" s="25"/>
      <c r="B68" s="148" t="s">
        <v>99</v>
      </c>
      <c r="C68" s="145" t="s">
        <v>110</v>
      </c>
      <c r="D68" s="146">
        <v>4</v>
      </c>
      <c r="E68" s="145" t="s">
        <v>89</v>
      </c>
      <c r="F68" s="151">
        <v>16250</v>
      </c>
      <c r="G68" s="147">
        <f t="shared" si="3"/>
        <v>65000</v>
      </c>
    </row>
    <row r="69" spans="1:7" ht="12.75" customHeight="1" x14ac:dyDescent="0.3">
      <c r="A69" s="25"/>
      <c r="B69" s="148" t="s">
        <v>100</v>
      </c>
      <c r="C69" s="145" t="s">
        <v>111</v>
      </c>
      <c r="D69" s="146">
        <v>2</v>
      </c>
      <c r="E69" s="145" t="s">
        <v>89</v>
      </c>
      <c r="F69" s="151">
        <v>17550</v>
      </c>
      <c r="G69" s="147">
        <f t="shared" si="3"/>
        <v>35100</v>
      </c>
    </row>
    <row r="70" spans="1:7" ht="12.75" customHeight="1" x14ac:dyDescent="0.3">
      <c r="A70" s="25"/>
      <c r="B70" s="148" t="s">
        <v>101</v>
      </c>
      <c r="C70" s="145" t="s">
        <v>107</v>
      </c>
      <c r="D70" s="146">
        <v>1</v>
      </c>
      <c r="E70" s="145" t="s">
        <v>89</v>
      </c>
      <c r="F70" s="151">
        <v>28600</v>
      </c>
      <c r="G70" s="147">
        <f t="shared" si="3"/>
        <v>28600</v>
      </c>
    </row>
    <row r="71" spans="1:7" ht="12.75" customHeight="1" x14ac:dyDescent="0.3">
      <c r="A71" s="25"/>
      <c r="B71" s="148" t="s">
        <v>102</v>
      </c>
      <c r="C71" s="145" t="s">
        <v>107</v>
      </c>
      <c r="D71" s="146">
        <v>0.5</v>
      </c>
      <c r="E71" s="145" t="s">
        <v>89</v>
      </c>
      <c r="F71" s="151">
        <v>84500</v>
      </c>
      <c r="G71" s="147">
        <f t="shared" si="3"/>
        <v>42250</v>
      </c>
    </row>
    <row r="72" spans="1:7" ht="12.75" customHeight="1" x14ac:dyDescent="0.3">
      <c r="A72" s="25"/>
      <c r="B72" s="148" t="s">
        <v>103</v>
      </c>
      <c r="C72" s="145" t="s">
        <v>108</v>
      </c>
      <c r="D72" s="146">
        <v>1</v>
      </c>
      <c r="E72" s="145" t="s">
        <v>89</v>
      </c>
      <c r="F72" s="151">
        <v>28600</v>
      </c>
      <c r="G72" s="147">
        <f t="shared" si="3"/>
        <v>28600</v>
      </c>
    </row>
    <row r="73" spans="1:7" ht="12.75" customHeight="1" x14ac:dyDescent="0.3">
      <c r="A73" s="25"/>
      <c r="B73" s="72" t="s">
        <v>128</v>
      </c>
      <c r="C73" s="73" t="s">
        <v>107</v>
      </c>
      <c r="D73" s="74">
        <v>1</v>
      </c>
      <c r="E73" s="73" t="s">
        <v>89</v>
      </c>
      <c r="F73" s="152">
        <v>87996.454000000012</v>
      </c>
      <c r="G73" s="75">
        <f t="shared" si="3"/>
        <v>87996.454000000012</v>
      </c>
    </row>
    <row r="74" spans="1:7" ht="13.5" customHeight="1" x14ac:dyDescent="0.3">
      <c r="A74" s="5"/>
      <c r="B74" s="76" t="s">
        <v>34</v>
      </c>
      <c r="C74" s="77"/>
      <c r="D74" s="77"/>
      <c r="E74" s="77"/>
      <c r="F74" s="78"/>
      <c r="G74" s="79">
        <f>SUM(G46:G73)</f>
        <v>6132223.6239999998</v>
      </c>
    </row>
    <row r="75" spans="1:7" ht="12" customHeight="1" x14ac:dyDescent="0.3">
      <c r="A75" s="2"/>
      <c r="B75" s="51"/>
      <c r="C75" s="52"/>
      <c r="D75" s="52"/>
      <c r="E75" s="80"/>
      <c r="F75" s="53"/>
      <c r="G75" s="53"/>
    </row>
    <row r="76" spans="1:7" ht="12" customHeight="1" x14ac:dyDescent="0.3">
      <c r="A76" s="5"/>
      <c r="B76" s="40" t="s">
        <v>35</v>
      </c>
      <c r="C76" s="41"/>
      <c r="D76" s="42"/>
      <c r="E76" s="42"/>
      <c r="F76" s="43"/>
      <c r="G76" s="43"/>
    </row>
    <row r="77" spans="1:7" ht="24" customHeight="1" x14ac:dyDescent="0.3">
      <c r="A77" s="5"/>
      <c r="B77" s="54" t="s">
        <v>36</v>
      </c>
      <c r="C77" s="55" t="s">
        <v>27</v>
      </c>
      <c r="D77" s="55" t="s">
        <v>28</v>
      </c>
      <c r="E77" s="54" t="s">
        <v>17</v>
      </c>
      <c r="F77" s="55" t="s">
        <v>18</v>
      </c>
      <c r="G77" s="54" t="s">
        <v>19</v>
      </c>
    </row>
    <row r="78" spans="1:7" ht="12.75" customHeight="1" x14ac:dyDescent="0.3">
      <c r="A78" s="25"/>
      <c r="B78" s="144" t="s">
        <v>129</v>
      </c>
      <c r="C78" s="67" t="s">
        <v>130</v>
      </c>
      <c r="D78" s="81">
        <v>1</v>
      </c>
      <c r="E78" s="33" t="s">
        <v>113</v>
      </c>
      <c r="F78" s="153">
        <v>47000</v>
      </c>
      <c r="G78" s="69">
        <f t="shared" ref="G78:G82" si="4">+F78*D78</f>
        <v>47000</v>
      </c>
    </row>
    <row r="79" spans="1:7" ht="20.399999999999999" customHeight="1" x14ac:dyDescent="0.3">
      <c r="A79" s="25"/>
      <c r="B79" s="144" t="s">
        <v>131</v>
      </c>
      <c r="C79" s="67" t="s">
        <v>132</v>
      </c>
      <c r="D79" s="81">
        <v>1.5</v>
      </c>
      <c r="E79" s="33" t="s">
        <v>133</v>
      </c>
      <c r="F79" s="153">
        <v>300000</v>
      </c>
      <c r="G79" s="69">
        <f>+F79*D79</f>
        <v>450000</v>
      </c>
    </row>
    <row r="80" spans="1:7" ht="12.75" customHeight="1" x14ac:dyDescent="0.3">
      <c r="A80" s="25"/>
      <c r="B80" s="144" t="s">
        <v>134</v>
      </c>
      <c r="C80" s="67" t="s">
        <v>135</v>
      </c>
      <c r="D80" s="81">
        <v>0.5</v>
      </c>
      <c r="E80" s="33" t="s">
        <v>133</v>
      </c>
      <c r="F80" s="153">
        <v>32000</v>
      </c>
      <c r="G80" s="69">
        <f t="shared" si="4"/>
        <v>16000</v>
      </c>
    </row>
    <row r="81" spans="1:8" ht="16.8" customHeight="1" x14ac:dyDescent="0.3">
      <c r="A81" s="25"/>
      <c r="B81" s="144" t="s">
        <v>136</v>
      </c>
      <c r="C81" s="67" t="s">
        <v>137</v>
      </c>
      <c r="D81" s="69">
        <f>32*4*4*5</f>
        <v>2560</v>
      </c>
      <c r="E81" s="33" t="s">
        <v>133</v>
      </c>
      <c r="F81" s="153">
        <v>71</v>
      </c>
      <c r="G81" s="69">
        <f t="shared" si="4"/>
        <v>181760</v>
      </c>
    </row>
    <row r="82" spans="1:8" ht="12.75" customHeight="1" x14ac:dyDescent="0.3">
      <c r="A82" s="25"/>
      <c r="B82" s="144" t="s">
        <v>138</v>
      </c>
      <c r="C82" s="67" t="s">
        <v>139</v>
      </c>
      <c r="D82" s="69">
        <v>12</v>
      </c>
      <c r="E82" s="33" t="s">
        <v>113</v>
      </c>
      <c r="F82" s="153">
        <f>150000/40*5</f>
        <v>18750</v>
      </c>
      <c r="G82" s="69">
        <f t="shared" si="4"/>
        <v>225000</v>
      </c>
    </row>
    <row r="83" spans="1:8" ht="25.2" customHeight="1" x14ac:dyDescent="0.3">
      <c r="A83" s="25"/>
      <c r="B83" s="12" t="s">
        <v>80</v>
      </c>
      <c r="C83" s="67" t="s">
        <v>81</v>
      </c>
      <c r="D83" s="69">
        <v>40</v>
      </c>
      <c r="E83" s="33" t="s">
        <v>82</v>
      </c>
      <c r="F83" s="153">
        <f>5000*1.3</f>
        <v>6500</v>
      </c>
      <c r="G83" s="69">
        <f>(D83*F83)</f>
        <v>260000</v>
      </c>
    </row>
    <row r="84" spans="1:8" ht="12.75" customHeight="1" x14ac:dyDescent="0.3">
      <c r="A84" s="25"/>
      <c r="B84" s="144" t="s">
        <v>105</v>
      </c>
      <c r="C84" s="67" t="s">
        <v>112</v>
      </c>
      <c r="D84" s="69">
        <v>1</v>
      </c>
      <c r="E84" s="33" t="s">
        <v>113</v>
      </c>
      <c r="F84" s="153">
        <v>480000</v>
      </c>
      <c r="G84" s="69">
        <f>+F84*D84</f>
        <v>480000</v>
      </c>
    </row>
    <row r="85" spans="1:8" ht="13.5" customHeight="1" x14ac:dyDescent="0.3">
      <c r="A85" s="5"/>
      <c r="B85" s="82" t="s">
        <v>37</v>
      </c>
      <c r="C85" s="83"/>
      <c r="D85" s="83"/>
      <c r="E85" s="83"/>
      <c r="F85" s="84"/>
      <c r="G85" s="85">
        <f>SUM(G78:G84)</f>
        <v>1659760</v>
      </c>
    </row>
    <row r="86" spans="1:8" ht="12" customHeight="1" x14ac:dyDescent="0.3">
      <c r="A86" s="2"/>
      <c r="B86" s="102"/>
      <c r="C86" s="102"/>
      <c r="D86" s="102"/>
      <c r="E86" s="102"/>
      <c r="F86" s="103"/>
      <c r="G86" s="103"/>
    </row>
    <row r="87" spans="1:8" ht="12" customHeight="1" x14ac:dyDescent="0.3">
      <c r="A87" s="99"/>
      <c r="B87" s="104" t="s">
        <v>38</v>
      </c>
      <c r="C87" s="105"/>
      <c r="D87" s="105"/>
      <c r="E87" s="105"/>
      <c r="F87" s="105"/>
      <c r="G87" s="106">
        <f>G30+G41+G74+G85</f>
        <v>14072583.624</v>
      </c>
    </row>
    <row r="88" spans="1:8" ht="12" customHeight="1" x14ac:dyDescent="0.3">
      <c r="A88" s="99"/>
      <c r="B88" s="107" t="s">
        <v>39</v>
      </c>
      <c r="C88" s="87"/>
      <c r="D88" s="87"/>
      <c r="E88" s="87"/>
      <c r="F88" s="87"/>
      <c r="G88" s="108">
        <f>G87*0.05</f>
        <v>703629.18119999999</v>
      </c>
    </row>
    <row r="89" spans="1:8" ht="12" customHeight="1" x14ac:dyDescent="0.3">
      <c r="A89" s="99"/>
      <c r="B89" s="109" t="s">
        <v>40</v>
      </c>
      <c r="C89" s="86"/>
      <c r="D89" s="86"/>
      <c r="E89" s="86"/>
      <c r="F89" s="86"/>
      <c r="G89" s="110">
        <f>G88+G87</f>
        <v>14776212.805199999</v>
      </c>
    </row>
    <row r="90" spans="1:8" ht="12" customHeight="1" x14ac:dyDescent="0.3">
      <c r="A90" s="99"/>
      <c r="B90" s="107" t="s">
        <v>41</v>
      </c>
      <c r="C90" s="87"/>
      <c r="D90" s="87"/>
      <c r="E90" s="87"/>
      <c r="F90" s="87"/>
      <c r="G90" s="108">
        <f>G12</f>
        <v>28800000</v>
      </c>
    </row>
    <row r="91" spans="1:8" ht="12" customHeight="1" x14ac:dyDescent="0.3">
      <c r="A91" s="99"/>
      <c r="B91" s="111" t="s">
        <v>42</v>
      </c>
      <c r="C91" s="112"/>
      <c r="D91" s="112"/>
      <c r="E91" s="112"/>
      <c r="F91" s="112"/>
      <c r="G91" s="113">
        <f>G90-G89</f>
        <v>14023787.194800001</v>
      </c>
      <c r="H91" s="149"/>
    </row>
    <row r="92" spans="1:8" ht="12" customHeight="1" x14ac:dyDescent="0.3">
      <c r="A92" s="99"/>
      <c r="B92" s="100" t="s">
        <v>43</v>
      </c>
      <c r="C92" s="101"/>
      <c r="D92" s="101"/>
      <c r="E92" s="101"/>
      <c r="F92" s="101"/>
      <c r="G92" s="96"/>
    </row>
    <row r="93" spans="1:8" ht="12.75" customHeight="1" thickBot="1" x14ac:dyDescent="0.35">
      <c r="A93" s="99"/>
      <c r="B93" s="114"/>
      <c r="C93" s="101"/>
      <c r="D93" s="101"/>
      <c r="E93" s="101"/>
      <c r="F93" s="101"/>
      <c r="G93" s="96"/>
    </row>
    <row r="94" spans="1:8" ht="12" customHeight="1" x14ac:dyDescent="0.3">
      <c r="A94" s="99"/>
      <c r="B94" s="126" t="s">
        <v>44</v>
      </c>
      <c r="C94" s="127"/>
      <c r="D94" s="127"/>
      <c r="E94" s="127"/>
      <c r="F94" s="128"/>
      <c r="G94" s="96"/>
    </row>
    <row r="95" spans="1:8" ht="12" customHeight="1" x14ac:dyDescent="0.3">
      <c r="A95" s="99"/>
      <c r="B95" s="129" t="s">
        <v>45</v>
      </c>
      <c r="C95" s="98"/>
      <c r="D95" s="98"/>
      <c r="E95" s="98"/>
      <c r="F95" s="130"/>
      <c r="G95" s="96"/>
    </row>
    <row r="96" spans="1:8" ht="12" customHeight="1" x14ac:dyDescent="0.3">
      <c r="A96" s="99"/>
      <c r="B96" s="129" t="s">
        <v>46</v>
      </c>
      <c r="C96" s="98"/>
      <c r="D96" s="98"/>
      <c r="E96" s="98"/>
      <c r="F96" s="130"/>
      <c r="G96" s="96"/>
    </row>
    <row r="97" spans="1:7" ht="12" customHeight="1" x14ac:dyDescent="0.3">
      <c r="A97" s="99"/>
      <c r="B97" s="129" t="s">
        <v>47</v>
      </c>
      <c r="C97" s="98"/>
      <c r="D97" s="98"/>
      <c r="E97" s="98"/>
      <c r="F97" s="130"/>
      <c r="G97" s="96"/>
    </row>
    <row r="98" spans="1:7" ht="12" customHeight="1" x14ac:dyDescent="0.3">
      <c r="A98" s="99"/>
      <c r="B98" s="129" t="s">
        <v>48</v>
      </c>
      <c r="C98" s="98"/>
      <c r="D98" s="98"/>
      <c r="E98" s="98"/>
      <c r="F98" s="130"/>
      <c r="G98" s="96"/>
    </row>
    <row r="99" spans="1:7" ht="12" customHeight="1" x14ac:dyDescent="0.3">
      <c r="A99" s="99"/>
      <c r="B99" s="129" t="s">
        <v>49</v>
      </c>
      <c r="C99" s="98"/>
      <c r="D99" s="98"/>
      <c r="E99" s="98"/>
      <c r="F99" s="130"/>
      <c r="G99" s="96"/>
    </row>
    <row r="100" spans="1:7" ht="12.75" customHeight="1" thickBot="1" x14ac:dyDescent="0.35">
      <c r="A100" s="99"/>
      <c r="B100" s="131" t="s">
        <v>50</v>
      </c>
      <c r="C100" s="132"/>
      <c r="D100" s="132"/>
      <c r="E100" s="132"/>
      <c r="F100" s="133"/>
      <c r="G100" s="96"/>
    </row>
    <row r="101" spans="1:7" ht="12.75" customHeight="1" x14ac:dyDescent="0.3">
      <c r="A101" s="99"/>
      <c r="B101" s="124"/>
      <c r="C101" s="98"/>
      <c r="D101" s="98"/>
      <c r="E101" s="98"/>
      <c r="F101" s="98"/>
      <c r="G101" s="96"/>
    </row>
    <row r="102" spans="1:7" ht="15" customHeight="1" thickBot="1" x14ac:dyDescent="0.35">
      <c r="A102" s="99"/>
      <c r="B102" s="160" t="s">
        <v>51</v>
      </c>
      <c r="C102" s="161"/>
      <c r="D102" s="123"/>
      <c r="E102" s="89"/>
      <c r="F102" s="89"/>
      <c r="G102" s="96"/>
    </row>
    <row r="103" spans="1:7" ht="12" customHeight="1" x14ac:dyDescent="0.3">
      <c r="A103" s="99"/>
      <c r="B103" s="116" t="s">
        <v>36</v>
      </c>
      <c r="C103" s="90" t="s">
        <v>140</v>
      </c>
      <c r="D103" s="117" t="s">
        <v>52</v>
      </c>
      <c r="E103" s="89"/>
      <c r="F103" s="89"/>
      <c r="G103" s="96"/>
    </row>
    <row r="104" spans="1:7" ht="12" customHeight="1" x14ac:dyDescent="0.3">
      <c r="A104" s="99"/>
      <c r="B104" s="118" t="s">
        <v>53</v>
      </c>
      <c r="C104" s="91">
        <f>+G30</f>
        <v>6175000</v>
      </c>
      <c r="D104" s="119">
        <f>(C104/C110)</f>
        <v>0.41790139878243449</v>
      </c>
      <c r="E104" s="89"/>
      <c r="F104" s="89"/>
      <c r="G104" s="96"/>
    </row>
    <row r="105" spans="1:7" ht="12" customHeight="1" x14ac:dyDescent="0.3">
      <c r="A105" s="99"/>
      <c r="B105" s="118" t="s">
        <v>54</v>
      </c>
      <c r="C105" s="92">
        <v>0</v>
      </c>
      <c r="D105" s="119">
        <v>0</v>
      </c>
      <c r="E105" s="89"/>
      <c r="F105" s="89"/>
      <c r="G105" s="96"/>
    </row>
    <row r="106" spans="1:7" ht="12" customHeight="1" x14ac:dyDescent="0.3">
      <c r="A106" s="99"/>
      <c r="B106" s="118" t="s">
        <v>55</v>
      </c>
      <c r="C106" s="91">
        <f>+G41</f>
        <v>105600</v>
      </c>
      <c r="D106" s="119">
        <f>(C106/C110)</f>
        <v>7.1466214917287581E-3</v>
      </c>
      <c r="E106" s="89"/>
      <c r="F106" s="89"/>
      <c r="G106" s="96"/>
    </row>
    <row r="107" spans="1:7" ht="12" customHeight="1" x14ac:dyDescent="0.3">
      <c r="A107" s="99"/>
      <c r="B107" s="118" t="s">
        <v>26</v>
      </c>
      <c r="C107" s="91">
        <f>+G74</f>
        <v>6132223.6239999998</v>
      </c>
      <c r="D107" s="119">
        <f>(C107/C110)</f>
        <v>0.41500645022126148</v>
      </c>
      <c r="E107" s="89"/>
      <c r="F107" s="89"/>
      <c r="G107" s="96"/>
    </row>
    <row r="108" spans="1:7" ht="12" customHeight="1" x14ac:dyDescent="0.3">
      <c r="A108" s="99"/>
      <c r="B108" s="118" t="s">
        <v>56</v>
      </c>
      <c r="C108" s="93">
        <f>+G85</f>
        <v>1659760</v>
      </c>
      <c r="D108" s="119">
        <f>(C108/C110)</f>
        <v>0.11232648188552768</v>
      </c>
      <c r="E108" s="95"/>
      <c r="F108" s="95"/>
      <c r="G108" s="96"/>
    </row>
    <row r="109" spans="1:7" ht="12" customHeight="1" x14ac:dyDescent="0.3">
      <c r="A109" s="99"/>
      <c r="B109" s="118" t="s">
        <v>57</v>
      </c>
      <c r="C109" s="93">
        <f>+G88</f>
        <v>703629.18119999999</v>
      </c>
      <c r="D109" s="119">
        <f>(C109/C110)</f>
        <v>4.7619047619047623E-2</v>
      </c>
      <c r="E109" s="95"/>
      <c r="F109" s="95"/>
      <c r="G109" s="96"/>
    </row>
    <row r="110" spans="1:7" ht="12.75" customHeight="1" thickBot="1" x14ac:dyDescent="0.35">
      <c r="A110" s="99"/>
      <c r="B110" s="120" t="s">
        <v>58</v>
      </c>
      <c r="C110" s="121">
        <f>SUM(C104:C109)</f>
        <v>14776212.805199999</v>
      </c>
      <c r="D110" s="122">
        <f>SUM(D104:D109)</f>
        <v>1</v>
      </c>
      <c r="E110" s="95"/>
      <c r="F110" s="95"/>
      <c r="G110" s="96"/>
    </row>
    <row r="111" spans="1:7" ht="12" customHeight="1" x14ac:dyDescent="0.3">
      <c r="A111" s="99"/>
      <c r="B111" s="114"/>
      <c r="C111" s="101"/>
      <c r="D111" s="101"/>
      <c r="E111" s="101"/>
      <c r="F111" s="101"/>
      <c r="G111" s="96"/>
    </row>
    <row r="112" spans="1:7" ht="12.75" customHeight="1" x14ac:dyDescent="0.3">
      <c r="A112" s="99"/>
      <c r="B112" s="115"/>
      <c r="C112" s="101"/>
      <c r="D112" s="101"/>
      <c r="E112" s="101"/>
      <c r="F112" s="101"/>
      <c r="G112" s="96"/>
    </row>
    <row r="113" spans="1:7" ht="12" customHeight="1" thickBot="1" x14ac:dyDescent="0.35">
      <c r="A113" s="88"/>
      <c r="B113" s="135"/>
      <c r="C113" s="136" t="s">
        <v>141</v>
      </c>
      <c r="D113" s="137"/>
      <c r="E113" s="138"/>
      <c r="F113" s="94"/>
      <c r="G113" s="96"/>
    </row>
    <row r="114" spans="1:7" ht="12" customHeight="1" x14ac:dyDescent="0.3">
      <c r="A114" s="99"/>
      <c r="B114" s="139" t="s">
        <v>142</v>
      </c>
      <c r="C114" s="154">
        <f>18*4000</f>
        <v>72000</v>
      </c>
      <c r="D114" s="154">
        <f>24*4000</f>
        <v>96000</v>
      </c>
      <c r="E114" s="155">
        <f>30*4000</f>
        <v>120000</v>
      </c>
      <c r="F114" s="134"/>
      <c r="G114" s="97"/>
    </row>
    <row r="115" spans="1:7" ht="12.75" customHeight="1" thickBot="1" x14ac:dyDescent="0.35">
      <c r="A115" s="99"/>
      <c r="B115" s="120" t="s">
        <v>114</v>
      </c>
      <c r="C115" s="121">
        <f>(G89/C114)</f>
        <v>205.22517784999999</v>
      </c>
      <c r="D115" s="121">
        <f>(G89/D114)</f>
        <v>153.91888338749999</v>
      </c>
      <c r="E115" s="140">
        <f>(G89/E114)</f>
        <v>123.13510670999999</v>
      </c>
      <c r="F115" s="134"/>
      <c r="G115" s="97"/>
    </row>
    <row r="116" spans="1:7" ht="15.6" customHeight="1" x14ac:dyDescent="0.3">
      <c r="A116" s="99"/>
      <c r="B116" s="125" t="s">
        <v>59</v>
      </c>
      <c r="C116" s="98"/>
      <c r="D116" s="98"/>
      <c r="E116" s="98"/>
      <c r="F116" s="98"/>
      <c r="G116" s="98"/>
    </row>
  </sheetData>
  <mergeCells count="8">
    <mergeCell ref="B102:C10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16"/>
  <sheetViews>
    <sheetView topLeftCell="B88" zoomScale="110" zoomScaleNormal="110" workbookViewId="0">
      <selection activeCell="I12" sqref="I12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8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8" width="12" style="1" bestFit="1" customWidth="1"/>
    <col min="9" max="247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61</v>
      </c>
      <c r="D9" s="8"/>
      <c r="E9" s="164" t="s">
        <v>144</v>
      </c>
      <c r="F9" s="165"/>
      <c r="G9" s="156">
        <v>96000</v>
      </c>
    </row>
    <row r="10" spans="1:7" ht="38.25" customHeight="1" x14ac:dyDescent="0.3">
      <c r="A10" s="5"/>
      <c r="B10" s="170" t="s">
        <v>1</v>
      </c>
      <c r="C10" s="171" t="s">
        <v>62</v>
      </c>
      <c r="D10" s="8"/>
      <c r="E10" s="172" t="s">
        <v>2</v>
      </c>
      <c r="F10" s="173"/>
      <c r="G10" s="174" t="s">
        <v>64</v>
      </c>
    </row>
    <row r="11" spans="1:7" ht="18" customHeight="1" x14ac:dyDescent="0.3">
      <c r="A11" s="5"/>
      <c r="B11" s="170" t="s">
        <v>3</v>
      </c>
      <c r="C11" s="174" t="s">
        <v>4</v>
      </c>
      <c r="D11" s="8"/>
      <c r="E11" s="172" t="s">
        <v>65</v>
      </c>
      <c r="F11" s="173"/>
      <c r="G11" s="175">
        <v>300</v>
      </c>
    </row>
    <row r="12" spans="1:7" ht="16.8" customHeight="1" x14ac:dyDescent="0.3">
      <c r="A12" s="5"/>
      <c r="B12" s="170" t="s">
        <v>5</v>
      </c>
      <c r="C12" s="176" t="s">
        <v>63</v>
      </c>
      <c r="D12" s="8"/>
      <c r="E12" s="177" t="s">
        <v>6</v>
      </c>
      <c r="F12" s="178"/>
      <c r="G12" s="179">
        <f>+D114*G11</f>
        <v>28800000</v>
      </c>
    </row>
    <row r="13" spans="1:7" ht="11.25" customHeight="1" x14ac:dyDescent="0.3">
      <c r="A13" s="5"/>
      <c r="B13" s="170" t="s">
        <v>7</v>
      </c>
      <c r="C13" s="174" t="s">
        <v>143</v>
      </c>
      <c r="D13" s="8"/>
      <c r="E13" s="172" t="s">
        <v>8</v>
      </c>
      <c r="F13" s="173"/>
      <c r="G13" s="174" t="s">
        <v>66</v>
      </c>
    </row>
    <row r="14" spans="1:7" ht="13.5" customHeight="1" x14ac:dyDescent="0.3">
      <c r="A14" s="5"/>
      <c r="B14" s="170" t="s">
        <v>9</v>
      </c>
      <c r="C14" s="174" t="s">
        <v>60</v>
      </c>
      <c r="D14" s="8"/>
      <c r="E14" s="172" t="s">
        <v>10</v>
      </c>
      <c r="F14" s="173"/>
      <c r="G14" s="174" t="s">
        <v>67</v>
      </c>
    </row>
    <row r="15" spans="1:7" ht="18.600000000000001" customHeight="1" x14ac:dyDescent="0.3">
      <c r="A15" s="5"/>
      <c r="B15" s="170" t="s">
        <v>11</v>
      </c>
      <c r="C15" s="180">
        <v>44713</v>
      </c>
      <c r="D15" s="8"/>
      <c r="E15" s="181" t="s">
        <v>12</v>
      </c>
      <c r="F15" s="182"/>
      <c r="G15" s="176"/>
    </row>
    <row r="16" spans="1:7" ht="12" customHeight="1" x14ac:dyDescent="0.3">
      <c r="A16" s="2"/>
      <c r="B16" s="20"/>
      <c r="C16" s="21"/>
      <c r="D16" s="22"/>
      <c r="E16" s="23"/>
      <c r="F16" s="23"/>
      <c r="G16" s="24"/>
    </row>
    <row r="17" spans="1:7" ht="12" customHeight="1" x14ac:dyDescent="0.3">
      <c r="A17" s="25"/>
      <c r="B17" s="168" t="s">
        <v>73</v>
      </c>
      <c r="C17" s="169"/>
      <c r="D17" s="169"/>
      <c r="E17" s="169"/>
      <c r="F17" s="169"/>
      <c r="G17" s="169"/>
    </row>
    <row r="18" spans="1:7" ht="12" customHeight="1" x14ac:dyDescent="0.3">
      <c r="A18" s="2"/>
      <c r="B18" s="26"/>
      <c r="C18" s="27"/>
      <c r="D18" s="27"/>
      <c r="E18" s="27"/>
      <c r="F18" s="28"/>
      <c r="G18" s="28"/>
    </row>
    <row r="19" spans="1:7" ht="12" customHeight="1" x14ac:dyDescent="0.3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 x14ac:dyDescent="0.3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2.75" customHeight="1" x14ac:dyDescent="0.3">
      <c r="A21" s="25"/>
      <c r="B21" s="157" t="s">
        <v>85</v>
      </c>
      <c r="C21" s="33" t="s">
        <v>74</v>
      </c>
      <c r="D21" s="34">
        <v>4</v>
      </c>
      <c r="E21" s="157" t="s">
        <v>72</v>
      </c>
      <c r="F21" s="18">
        <v>26000</v>
      </c>
      <c r="G21" s="18">
        <f t="shared" ref="G21:G28" si="0">+F21*D21</f>
        <v>104000</v>
      </c>
    </row>
    <row r="22" spans="1:7" ht="12.75" customHeight="1" x14ac:dyDescent="0.3">
      <c r="A22" s="25"/>
      <c r="B22" s="157" t="s">
        <v>75</v>
      </c>
      <c r="C22" s="33" t="s">
        <v>74</v>
      </c>
      <c r="D22" s="34">
        <v>1</v>
      </c>
      <c r="E22" s="157" t="s">
        <v>76</v>
      </c>
      <c r="F22" s="18">
        <v>26000</v>
      </c>
      <c r="G22" s="18">
        <f t="shared" si="0"/>
        <v>26000</v>
      </c>
    </row>
    <row r="23" spans="1:7" ht="12.75" customHeight="1" x14ac:dyDescent="0.3">
      <c r="A23" s="25"/>
      <c r="B23" s="157" t="s">
        <v>77</v>
      </c>
      <c r="C23" s="33" t="s">
        <v>74</v>
      </c>
      <c r="D23" s="34">
        <f>1*4*12</f>
        <v>48</v>
      </c>
      <c r="E23" s="157" t="s">
        <v>67</v>
      </c>
      <c r="F23" s="18">
        <v>26000</v>
      </c>
      <c r="G23" s="18">
        <f t="shared" si="0"/>
        <v>1248000</v>
      </c>
    </row>
    <row r="24" spans="1:7" ht="12.75" customHeight="1" x14ac:dyDescent="0.3">
      <c r="A24" s="25"/>
      <c r="B24" s="157" t="s">
        <v>69</v>
      </c>
      <c r="C24" s="33" t="s">
        <v>74</v>
      </c>
      <c r="D24" s="34">
        <f>0.5*4*12</f>
        <v>24</v>
      </c>
      <c r="E24" s="157" t="s">
        <v>67</v>
      </c>
      <c r="F24" s="18">
        <v>26000</v>
      </c>
      <c r="G24" s="18">
        <f t="shared" si="0"/>
        <v>624000</v>
      </c>
    </row>
    <row r="25" spans="1:7" ht="12.75" customHeight="1" x14ac:dyDescent="0.3">
      <c r="A25" s="25"/>
      <c r="B25" s="157" t="s">
        <v>70</v>
      </c>
      <c r="C25" s="33" t="s">
        <v>74</v>
      </c>
      <c r="D25" s="34">
        <v>12</v>
      </c>
      <c r="E25" s="157" t="s">
        <v>67</v>
      </c>
      <c r="F25" s="18">
        <v>26000</v>
      </c>
      <c r="G25" s="18">
        <f t="shared" si="0"/>
        <v>312000</v>
      </c>
    </row>
    <row r="26" spans="1:7" ht="12.75" customHeight="1" x14ac:dyDescent="0.3">
      <c r="A26" s="25"/>
      <c r="B26" s="157" t="s">
        <v>78</v>
      </c>
      <c r="C26" s="33" t="s">
        <v>74</v>
      </c>
      <c r="D26" s="34">
        <f>2*4*12</f>
        <v>96</v>
      </c>
      <c r="E26" s="157" t="s">
        <v>67</v>
      </c>
      <c r="F26" s="18">
        <v>26000</v>
      </c>
      <c r="G26" s="18">
        <f t="shared" si="0"/>
        <v>2496000</v>
      </c>
    </row>
    <row r="27" spans="1:7" ht="12.75" customHeight="1" x14ac:dyDescent="0.3">
      <c r="A27" s="25"/>
      <c r="B27" s="157" t="s">
        <v>79</v>
      </c>
      <c r="C27" s="33" t="s">
        <v>74</v>
      </c>
      <c r="D27" s="34">
        <v>50</v>
      </c>
      <c r="E27" s="157" t="s">
        <v>67</v>
      </c>
      <c r="F27" s="18">
        <v>26000</v>
      </c>
      <c r="G27" s="18">
        <f t="shared" si="0"/>
        <v>1300000</v>
      </c>
    </row>
    <row r="28" spans="1:7" ht="14.4" x14ac:dyDescent="0.3">
      <c r="A28" s="25"/>
      <c r="B28" s="157" t="s">
        <v>83</v>
      </c>
      <c r="C28" s="33" t="s">
        <v>74</v>
      </c>
      <c r="D28" s="34">
        <v>7.5</v>
      </c>
      <c r="E28" s="157" t="s">
        <v>84</v>
      </c>
      <c r="F28" s="18">
        <v>40000</v>
      </c>
      <c r="G28" s="18">
        <f t="shared" si="0"/>
        <v>300000</v>
      </c>
    </row>
    <row r="29" spans="1:7" ht="12.75" customHeight="1" x14ac:dyDescent="0.3">
      <c r="A29" s="25"/>
      <c r="B29" s="157"/>
      <c r="C29" s="33"/>
      <c r="D29" s="34"/>
      <c r="E29" s="157"/>
      <c r="F29" s="18"/>
      <c r="G29" s="18"/>
    </row>
    <row r="30" spans="1:7" ht="12.75" customHeight="1" x14ac:dyDescent="0.3">
      <c r="A30" s="25"/>
      <c r="B30" s="35" t="s">
        <v>20</v>
      </c>
      <c r="C30" s="36"/>
      <c r="D30" s="36"/>
      <c r="E30" s="36"/>
      <c r="F30" s="37"/>
      <c r="G30" s="38">
        <f>SUM(G21:G29)</f>
        <v>6410000</v>
      </c>
    </row>
    <row r="31" spans="1:7" ht="12" customHeight="1" x14ac:dyDescent="0.3">
      <c r="A31" s="2"/>
      <c r="B31" s="26"/>
      <c r="C31" s="28"/>
      <c r="D31" s="28"/>
      <c r="E31" s="28"/>
      <c r="F31" s="39"/>
      <c r="G31" s="39"/>
    </row>
    <row r="32" spans="1:7" ht="12" customHeight="1" x14ac:dyDescent="0.3">
      <c r="A32" s="5"/>
      <c r="B32" s="40" t="s">
        <v>21</v>
      </c>
      <c r="C32" s="41"/>
      <c r="D32" s="42"/>
      <c r="E32" s="42"/>
      <c r="F32" s="43"/>
      <c r="G32" s="43"/>
    </row>
    <row r="33" spans="1:9" ht="24" customHeight="1" x14ac:dyDescent="0.3">
      <c r="A33" s="5"/>
      <c r="B33" s="44" t="s">
        <v>14</v>
      </c>
      <c r="C33" s="45" t="s">
        <v>15</v>
      </c>
      <c r="D33" s="45" t="s">
        <v>16</v>
      </c>
      <c r="E33" s="44" t="s">
        <v>17</v>
      </c>
      <c r="F33" s="45" t="s">
        <v>18</v>
      </c>
      <c r="G33" s="44" t="s">
        <v>19</v>
      </c>
    </row>
    <row r="34" spans="1:9" ht="12" customHeight="1" x14ac:dyDescent="0.3">
      <c r="A34" s="5"/>
      <c r="B34" s="46"/>
      <c r="C34" s="47"/>
      <c r="D34" s="47"/>
      <c r="E34" s="47"/>
      <c r="F34" s="46"/>
      <c r="G34" s="46"/>
    </row>
    <row r="35" spans="1:9" ht="12" customHeight="1" x14ac:dyDescent="0.3">
      <c r="A35" s="5"/>
      <c r="B35" s="48" t="s">
        <v>22</v>
      </c>
      <c r="C35" s="49"/>
      <c r="D35" s="49"/>
      <c r="E35" s="49"/>
      <c r="F35" s="50"/>
      <c r="G35" s="50"/>
    </row>
    <row r="36" spans="1:9" ht="12" customHeight="1" x14ac:dyDescent="0.3">
      <c r="A36" s="2"/>
      <c r="B36" s="157"/>
      <c r="C36" s="33"/>
      <c r="D36" s="34"/>
      <c r="E36" s="157"/>
      <c r="F36" s="18"/>
      <c r="G36" s="18"/>
    </row>
    <row r="37" spans="1:9" ht="12" customHeight="1" x14ac:dyDescent="0.3">
      <c r="A37" s="5"/>
      <c r="B37" s="40" t="s">
        <v>23</v>
      </c>
      <c r="C37" s="41"/>
      <c r="D37" s="42"/>
      <c r="E37" s="42"/>
      <c r="F37" s="43"/>
      <c r="G37" s="43"/>
    </row>
    <row r="38" spans="1:9" ht="24" customHeight="1" x14ac:dyDescent="0.3">
      <c r="A38" s="5"/>
      <c r="B38" s="54" t="s">
        <v>14</v>
      </c>
      <c r="C38" s="54" t="s">
        <v>15</v>
      </c>
      <c r="D38" s="54" t="s">
        <v>16</v>
      </c>
      <c r="E38" s="54" t="s">
        <v>17</v>
      </c>
      <c r="F38" s="55" t="s">
        <v>18</v>
      </c>
      <c r="G38" s="54" t="s">
        <v>19</v>
      </c>
    </row>
    <row r="39" spans="1:9" ht="12.75" customHeight="1" x14ac:dyDescent="0.3">
      <c r="A39" s="25"/>
      <c r="B39" s="157" t="s">
        <v>68</v>
      </c>
      <c r="C39" s="33" t="s">
        <v>71</v>
      </c>
      <c r="D39" s="34">
        <v>0.6</v>
      </c>
      <c r="E39" s="157" t="s">
        <v>72</v>
      </c>
      <c r="F39" s="18">
        <v>180000</v>
      </c>
      <c r="G39" s="18">
        <f>+D39*F39</f>
        <v>108000</v>
      </c>
    </row>
    <row r="40" spans="1:9" ht="12.75" customHeight="1" x14ac:dyDescent="0.3">
      <c r="A40" s="25"/>
      <c r="B40" s="56"/>
      <c r="C40" s="57"/>
      <c r="D40" s="58"/>
      <c r="E40" s="59"/>
      <c r="F40" s="60"/>
      <c r="G40" s="60">
        <f t="shared" ref="G40" si="1">(D40*F40)</f>
        <v>0</v>
      </c>
    </row>
    <row r="41" spans="1:9" ht="12.75" customHeight="1" x14ac:dyDescent="0.3">
      <c r="A41" s="5"/>
      <c r="B41" s="61" t="s">
        <v>24</v>
      </c>
      <c r="C41" s="62"/>
      <c r="D41" s="62"/>
      <c r="E41" s="62"/>
      <c r="F41" s="63"/>
      <c r="G41" s="64">
        <f>SUM(G39:G40)</f>
        <v>108000</v>
      </c>
    </row>
    <row r="42" spans="1:9" ht="12" customHeight="1" x14ac:dyDescent="0.3">
      <c r="A42" s="2"/>
      <c r="B42" s="51"/>
      <c r="C42" s="52"/>
      <c r="D42" s="52"/>
      <c r="E42" s="52"/>
      <c r="F42" s="53"/>
      <c r="G42" s="53"/>
    </row>
    <row r="43" spans="1:9" ht="12" customHeight="1" x14ac:dyDescent="0.3">
      <c r="A43" s="5"/>
      <c r="B43" s="40" t="s">
        <v>25</v>
      </c>
      <c r="C43" s="41"/>
      <c r="D43" s="42"/>
      <c r="E43" s="42"/>
      <c r="F43" s="43"/>
      <c r="G43" s="43"/>
    </row>
    <row r="44" spans="1:9" ht="24" customHeight="1" x14ac:dyDescent="0.3">
      <c r="A44" s="5"/>
      <c r="B44" s="55" t="s">
        <v>26</v>
      </c>
      <c r="C44" s="55" t="s">
        <v>27</v>
      </c>
      <c r="D44" s="55" t="s">
        <v>28</v>
      </c>
      <c r="E44" s="55" t="s">
        <v>17</v>
      </c>
      <c r="F44" s="55" t="s">
        <v>18</v>
      </c>
      <c r="G44" s="55" t="s">
        <v>19</v>
      </c>
    </row>
    <row r="45" spans="1:9" ht="12.75" customHeight="1" x14ac:dyDescent="0.3">
      <c r="A45" s="25"/>
      <c r="B45" s="65" t="s">
        <v>115</v>
      </c>
      <c r="C45" s="66"/>
      <c r="D45" s="66"/>
      <c r="E45" s="66"/>
      <c r="F45" s="66"/>
      <c r="G45" s="66"/>
    </row>
    <row r="46" spans="1:9" ht="12.75" customHeight="1" x14ac:dyDescent="0.3">
      <c r="A46" s="25"/>
      <c r="B46" s="158" t="s">
        <v>86</v>
      </c>
      <c r="C46" s="67" t="s">
        <v>87</v>
      </c>
      <c r="D46" s="68">
        <v>2000</v>
      </c>
      <c r="E46" s="67" t="s">
        <v>88</v>
      </c>
      <c r="F46" s="69">
        <f>gerberas!F46*'Al 22.06.22'!$I$46</f>
        <v>2508</v>
      </c>
      <c r="G46" s="69">
        <f>(D46*F46)</f>
        <v>5016000</v>
      </c>
      <c r="I46" s="1">
        <v>1.0449999999999999</v>
      </c>
    </row>
    <row r="47" spans="1:9" ht="12.75" customHeight="1" x14ac:dyDescent="0.3">
      <c r="A47" s="25"/>
      <c r="B47" s="70" t="s">
        <v>29</v>
      </c>
      <c r="C47" s="71"/>
      <c r="D47" s="159"/>
      <c r="E47" s="71"/>
      <c r="F47" s="69">
        <f>gerberas!F47*'Al 22.06.22'!$I$46</f>
        <v>0</v>
      </c>
      <c r="G47" s="69"/>
    </row>
    <row r="48" spans="1:9" ht="12.75" customHeight="1" x14ac:dyDescent="0.3">
      <c r="A48" s="25"/>
      <c r="B48" s="158" t="s">
        <v>116</v>
      </c>
      <c r="C48" s="71" t="s">
        <v>30</v>
      </c>
      <c r="D48" s="159">
        <v>75</v>
      </c>
      <c r="E48" s="71" t="s">
        <v>113</v>
      </c>
      <c r="F48" s="69">
        <f>gerberas!F48*'Al 22.06.22'!$I$46</f>
        <v>1964.6</v>
      </c>
      <c r="G48" s="69">
        <f>(D48*F48)</f>
        <v>147345</v>
      </c>
    </row>
    <row r="49" spans="1:7" ht="12.75" customHeight="1" x14ac:dyDescent="0.3">
      <c r="A49" s="25"/>
      <c r="B49" s="158" t="s">
        <v>117</v>
      </c>
      <c r="C49" s="71" t="s">
        <v>30</v>
      </c>
      <c r="D49" s="159">
        <v>25</v>
      </c>
      <c r="E49" s="71" t="s">
        <v>113</v>
      </c>
      <c r="F49" s="69">
        <f>gerberas!F49*'Al 22.06.22'!$I$46</f>
        <v>1045</v>
      </c>
      <c r="G49" s="69">
        <f>(D49*F49)</f>
        <v>26125</v>
      </c>
    </row>
    <row r="50" spans="1:7" ht="12.75" customHeight="1" x14ac:dyDescent="0.3">
      <c r="A50" s="25"/>
      <c r="B50" s="158" t="s">
        <v>118</v>
      </c>
      <c r="C50" s="67" t="s">
        <v>30</v>
      </c>
      <c r="D50" s="68">
        <v>25</v>
      </c>
      <c r="E50" s="67" t="s">
        <v>113</v>
      </c>
      <c r="F50" s="69">
        <f>gerberas!F50*'Al 22.06.22'!$I$46</f>
        <v>752.4</v>
      </c>
      <c r="G50" s="69">
        <f t="shared" ref="G50:G58" si="2">+F50*D50</f>
        <v>18810</v>
      </c>
    </row>
    <row r="51" spans="1:7" ht="12.75" customHeight="1" x14ac:dyDescent="0.3">
      <c r="A51" s="25"/>
      <c r="B51" s="158" t="s">
        <v>119</v>
      </c>
      <c r="C51" s="67" t="s">
        <v>31</v>
      </c>
      <c r="D51" s="68">
        <v>25</v>
      </c>
      <c r="E51" s="67" t="s">
        <v>113</v>
      </c>
      <c r="F51" s="69">
        <f>gerberas!F51*'Al 22.06.22'!$I$46</f>
        <v>1880.9999999999998</v>
      </c>
      <c r="G51" s="69">
        <f t="shared" si="2"/>
        <v>47024.999999999993</v>
      </c>
    </row>
    <row r="52" spans="1:7" ht="12.75" customHeight="1" x14ac:dyDescent="0.3">
      <c r="A52" s="25"/>
      <c r="B52" s="158" t="s">
        <v>90</v>
      </c>
      <c r="C52" s="67" t="s">
        <v>30</v>
      </c>
      <c r="D52" s="68">
        <v>50</v>
      </c>
      <c r="E52" s="67" t="s">
        <v>113</v>
      </c>
      <c r="F52" s="69">
        <f>gerberas!F52*'Al 22.06.22'!$I$46</f>
        <v>924.82499999999993</v>
      </c>
      <c r="G52" s="69">
        <f t="shared" si="2"/>
        <v>46241.25</v>
      </c>
    </row>
    <row r="53" spans="1:7" ht="12.75" customHeight="1" x14ac:dyDescent="0.3">
      <c r="A53" s="25"/>
      <c r="B53" s="158" t="s">
        <v>120</v>
      </c>
      <c r="C53" s="67" t="s">
        <v>121</v>
      </c>
      <c r="D53" s="68">
        <v>1</v>
      </c>
      <c r="E53" s="67" t="s">
        <v>113</v>
      </c>
      <c r="F53" s="69">
        <f>gerberas!F53*'Al 22.06.22'!$I$46</f>
        <v>27778.419899999997</v>
      </c>
      <c r="G53" s="69">
        <f t="shared" si="2"/>
        <v>27778.419899999997</v>
      </c>
    </row>
    <row r="54" spans="1:7" ht="12.75" customHeight="1" x14ac:dyDescent="0.3">
      <c r="A54" s="25"/>
      <c r="B54" s="158" t="s">
        <v>124</v>
      </c>
      <c r="C54" s="67" t="s">
        <v>125</v>
      </c>
      <c r="D54" s="68">
        <v>1</v>
      </c>
      <c r="E54" s="67" t="s">
        <v>113</v>
      </c>
      <c r="F54" s="69">
        <f>gerberas!F54*'Al 22.06.22'!$I$46</f>
        <v>84645</v>
      </c>
      <c r="G54" s="69">
        <f t="shared" si="2"/>
        <v>84645</v>
      </c>
    </row>
    <row r="55" spans="1:7" ht="12.75" customHeight="1" x14ac:dyDescent="0.3">
      <c r="A55" s="25"/>
      <c r="B55" s="158" t="s">
        <v>122</v>
      </c>
      <c r="C55" s="67" t="s">
        <v>123</v>
      </c>
      <c r="D55" s="68">
        <v>2</v>
      </c>
      <c r="E55" s="67" t="s">
        <v>113</v>
      </c>
      <c r="F55" s="69">
        <f>gerberas!F55*'Al 22.06.22'!$I$46</f>
        <v>42280.7</v>
      </c>
      <c r="G55" s="69">
        <f t="shared" si="2"/>
        <v>84561.4</v>
      </c>
    </row>
    <row r="56" spans="1:7" ht="12.75" customHeight="1" x14ac:dyDescent="0.3">
      <c r="A56" s="25"/>
      <c r="B56" s="158" t="s">
        <v>104</v>
      </c>
      <c r="C56" s="67" t="s">
        <v>106</v>
      </c>
      <c r="D56" s="68">
        <v>2</v>
      </c>
      <c r="E56" s="67" t="s">
        <v>89</v>
      </c>
      <c r="F56" s="69">
        <f>gerberas!F56*'Al 22.06.22'!$I$46</f>
        <v>73518.884999999995</v>
      </c>
      <c r="G56" s="69">
        <f t="shared" si="2"/>
        <v>147037.76999999999</v>
      </c>
    </row>
    <row r="57" spans="1:7" ht="12.75" customHeight="1" x14ac:dyDescent="0.3">
      <c r="A57" s="25"/>
      <c r="B57" s="158" t="s">
        <v>91</v>
      </c>
      <c r="C57" s="67" t="s">
        <v>106</v>
      </c>
      <c r="D57" s="68">
        <v>1</v>
      </c>
      <c r="E57" s="67" t="s">
        <v>113</v>
      </c>
      <c r="F57" s="69">
        <f>gerberas!F57*'Al 22.06.22'!$I$46</f>
        <v>21945</v>
      </c>
      <c r="G57" s="69">
        <f t="shared" si="2"/>
        <v>21945</v>
      </c>
    </row>
    <row r="58" spans="1:7" ht="12.75" customHeight="1" x14ac:dyDescent="0.3">
      <c r="A58" s="25"/>
      <c r="B58" s="158" t="s">
        <v>126</v>
      </c>
      <c r="C58" s="67" t="s">
        <v>33</v>
      </c>
      <c r="D58" s="68">
        <v>4</v>
      </c>
      <c r="E58" s="67" t="s">
        <v>113</v>
      </c>
      <c r="F58" s="69">
        <f>gerberas!F58*'Al 22.06.22'!$I$46</f>
        <v>22822.799999999999</v>
      </c>
      <c r="G58" s="69">
        <f t="shared" si="2"/>
        <v>91291.199999999997</v>
      </c>
    </row>
    <row r="59" spans="1:7" ht="12.75" customHeight="1" x14ac:dyDescent="0.3">
      <c r="A59" s="25"/>
      <c r="B59" s="70" t="s">
        <v>32</v>
      </c>
      <c r="C59" s="71"/>
      <c r="D59" s="159"/>
      <c r="E59" s="71"/>
      <c r="F59" s="69">
        <f>gerberas!F59*'Al 22.06.22'!$I$46</f>
        <v>0</v>
      </c>
      <c r="G59" s="69"/>
    </row>
    <row r="60" spans="1:7" ht="12.75" customHeight="1" x14ac:dyDescent="0.3">
      <c r="A60" s="25"/>
      <c r="B60" s="158" t="s">
        <v>92</v>
      </c>
      <c r="C60" s="67" t="s">
        <v>33</v>
      </c>
      <c r="D60" s="68">
        <v>1</v>
      </c>
      <c r="E60" s="67" t="s">
        <v>89</v>
      </c>
      <c r="F60" s="69">
        <f>gerberas!F60*'Al 22.06.22'!$I$46</f>
        <v>18130.75</v>
      </c>
      <c r="G60" s="69">
        <f>(D60*F60)</f>
        <v>18130.75</v>
      </c>
    </row>
    <row r="61" spans="1:7" ht="12.75" customHeight="1" x14ac:dyDescent="0.3">
      <c r="A61" s="25"/>
      <c r="B61" s="158"/>
      <c r="C61" s="67"/>
      <c r="D61" s="68"/>
      <c r="E61" s="67"/>
      <c r="F61" s="69">
        <f>gerberas!F61*'Al 22.06.22'!$I$46</f>
        <v>0</v>
      </c>
      <c r="G61" s="69"/>
    </row>
    <row r="62" spans="1:7" ht="12.75" customHeight="1" x14ac:dyDescent="0.3">
      <c r="A62" s="25"/>
      <c r="B62" s="70" t="s">
        <v>98</v>
      </c>
      <c r="C62" s="71"/>
      <c r="D62" s="159"/>
      <c r="E62" s="71"/>
      <c r="F62" s="69">
        <f>gerberas!F62*'Al 22.06.22'!$I$46</f>
        <v>0</v>
      </c>
      <c r="G62" s="69"/>
    </row>
    <row r="63" spans="1:7" ht="12.75" customHeight="1" x14ac:dyDescent="0.3">
      <c r="A63" s="25"/>
      <c r="B63" s="148" t="s">
        <v>93</v>
      </c>
      <c r="C63" s="145" t="s">
        <v>107</v>
      </c>
      <c r="D63" s="146">
        <v>1</v>
      </c>
      <c r="E63" s="145" t="s">
        <v>89</v>
      </c>
      <c r="F63" s="69">
        <f>gerberas!F63*'Al 22.06.22'!$I$46</f>
        <v>32581.01</v>
      </c>
      <c r="G63" s="147">
        <f t="shared" ref="G63:G73" si="3">+F63*D63</f>
        <v>32581.01</v>
      </c>
    </row>
    <row r="64" spans="1:7" ht="12.75" customHeight="1" x14ac:dyDescent="0.3">
      <c r="A64" s="25"/>
      <c r="B64" s="148" t="s">
        <v>94</v>
      </c>
      <c r="C64" s="145" t="s">
        <v>108</v>
      </c>
      <c r="D64" s="146">
        <v>1</v>
      </c>
      <c r="E64" s="145" t="s">
        <v>89</v>
      </c>
      <c r="F64" s="69">
        <f>gerberas!F64*'Al 22.06.22'!$I$46</f>
        <v>43472</v>
      </c>
      <c r="G64" s="147">
        <f t="shared" si="3"/>
        <v>43472</v>
      </c>
    </row>
    <row r="65" spans="1:7" ht="12.75" customHeight="1" x14ac:dyDescent="0.3">
      <c r="A65" s="25"/>
      <c r="B65" s="148" t="s">
        <v>95</v>
      </c>
      <c r="C65" s="145" t="s">
        <v>127</v>
      </c>
      <c r="D65" s="146">
        <v>2</v>
      </c>
      <c r="E65" s="145" t="s">
        <v>89</v>
      </c>
      <c r="F65" s="69">
        <f>gerberas!F65*'Al 22.06.22'!$I$46</f>
        <v>29537.421374999998</v>
      </c>
      <c r="G65" s="147">
        <f t="shared" si="3"/>
        <v>59074.842749999996</v>
      </c>
    </row>
    <row r="66" spans="1:7" ht="12.75" customHeight="1" x14ac:dyDescent="0.3">
      <c r="A66" s="25"/>
      <c r="B66" s="148" t="s">
        <v>96</v>
      </c>
      <c r="C66" s="145" t="s">
        <v>109</v>
      </c>
      <c r="D66" s="146">
        <v>8</v>
      </c>
      <c r="E66" s="145" t="s">
        <v>89</v>
      </c>
      <c r="F66" s="69">
        <f>gerberas!F66*'Al 22.06.22'!$I$46</f>
        <v>10868</v>
      </c>
      <c r="G66" s="147">
        <f t="shared" si="3"/>
        <v>86944</v>
      </c>
    </row>
    <row r="67" spans="1:7" ht="12.75" customHeight="1" x14ac:dyDescent="0.3">
      <c r="A67" s="25"/>
      <c r="B67" s="148" t="s">
        <v>97</v>
      </c>
      <c r="C67" s="145" t="s">
        <v>108</v>
      </c>
      <c r="D67" s="146">
        <v>1</v>
      </c>
      <c r="E67" s="145" t="s">
        <v>89</v>
      </c>
      <c r="F67" s="69">
        <f>gerberas!F67*'Al 22.06.22'!$I$46</f>
        <v>108679.99999999999</v>
      </c>
      <c r="G67" s="147">
        <f t="shared" si="3"/>
        <v>108679.99999999999</v>
      </c>
    </row>
    <row r="68" spans="1:7" ht="12.75" customHeight="1" x14ac:dyDescent="0.3">
      <c r="A68" s="25"/>
      <c r="B68" s="148" t="s">
        <v>99</v>
      </c>
      <c r="C68" s="145" t="s">
        <v>110</v>
      </c>
      <c r="D68" s="146">
        <v>4</v>
      </c>
      <c r="E68" s="145" t="s">
        <v>89</v>
      </c>
      <c r="F68" s="69">
        <f>gerberas!F68*'Al 22.06.22'!$I$46</f>
        <v>16981.25</v>
      </c>
      <c r="G68" s="147">
        <f t="shared" si="3"/>
        <v>67925</v>
      </c>
    </row>
    <row r="69" spans="1:7" ht="12.75" customHeight="1" x14ac:dyDescent="0.3">
      <c r="A69" s="25"/>
      <c r="B69" s="148" t="s">
        <v>100</v>
      </c>
      <c r="C69" s="145" t="s">
        <v>111</v>
      </c>
      <c r="D69" s="146">
        <v>2</v>
      </c>
      <c r="E69" s="145" t="s">
        <v>89</v>
      </c>
      <c r="F69" s="69">
        <f>gerberas!F69*'Al 22.06.22'!$I$46</f>
        <v>18339.75</v>
      </c>
      <c r="G69" s="147">
        <f t="shared" si="3"/>
        <v>36679.5</v>
      </c>
    </row>
    <row r="70" spans="1:7" ht="12.75" customHeight="1" x14ac:dyDescent="0.3">
      <c r="A70" s="25"/>
      <c r="B70" s="148" t="s">
        <v>101</v>
      </c>
      <c r="C70" s="145" t="s">
        <v>107</v>
      </c>
      <c r="D70" s="146">
        <v>1</v>
      </c>
      <c r="E70" s="145" t="s">
        <v>89</v>
      </c>
      <c r="F70" s="69">
        <f>gerberas!F70*'Al 22.06.22'!$I$46</f>
        <v>29886.999999999996</v>
      </c>
      <c r="G70" s="147">
        <f t="shared" si="3"/>
        <v>29886.999999999996</v>
      </c>
    </row>
    <row r="71" spans="1:7" ht="12.75" customHeight="1" x14ac:dyDescent="0.3">
      <c r="A71" s="25"/>
      <c r="B71" s="148" t="s">
        <v>102</v>
      </c>
      <c r="C71" s="145" t="s">
        <v>107</v>
      </c>
      <c r="D71" s="146">
        <v>0.5</v>
      </c>
      <c r="E71" s="145" t="s">
        <v>89</v>
      </c>
      <c r="F71" s="69">
        <f>gerberas!F71*'Al 22.06.22'!$I$46</f>
        <v>88302.5</v>
      </c>
      <c r="G71" s="147">
        <f t="shared" si="3"/>
        <v>44151.25</v>
      </c>
    </row>
    <row r="72" spans="1:7" ht="12.75" customHeight="1" x14ac:dyDescent="0.3">
      <c r="A72" s="25"/>
      <c r="B72" s="148" t="s">
        <v>103</v>
      </c>
      <c r="C72" s="145" t="s">
        <v>108</v>
      </c>
      <c r="D72" s="146">
        <v>1</v>
      </c>
      <c r="E72" s="145" t="s">
        <v>89</v>
      </c>
      <c r="F72" s="69">
        <f>gerberas!F72*'Al 22.06.22'!$I$46</f>
        <v>29886.999999999996</v>
      </c>
      <c r="G72" s="147">
        <f t="shared" si="3"/>
        <v>29886.999999999996</v>
      </c>
    </row>
    <row r="73" spans="1:7" ht="12.75" customHeight="1" x14ac:dyDescent="0.3">
      <c r="A73" s="25"/>
      <c r="B73" s="72" t="s">
        <v>128</v>
      </c>
      <c r="C73" s="73" t="s">
        <v>107</v>
      </c>
      <c r="D73" s="74">
        <v>1</v>
      </c>
      <c r="E73" s="73" t="s">
        <v>89</v>
      </c>
      <c r="F73" s="69">
        <f>gerberas!F73*'Al 22.06.22'!$I$46</f>
        <v>91956.294430000009</v>
      </c>
      <c r="G73" s="75">
        <f t="shared" si="3"/>
        <v>91956.294430000009</v>
      </c>
    </row>
    <row r="74" spans="1:7" ht="13.5" customHeight="1" x14ac:dyDescent="0.3">
      <c r="A74" s="5"/>
      <c r="B74" s="76" t="s">
        <v>34</v>
      </c>
      <c r="C74" s="77"/>
      <c r="D74" s="77"/>
      <c r="E74" s="77"/>
      <c r="F74" s="78"/>
      <c r="G74" s="79">
        <f>SUM(G46:G73)</f>
        <v>6408173.6870799996</v>
      </c>
    </row>
    <row r="75" spans="1:7" ht="12" customHeight="1" x14ac:dyDescent="0.3">
      <c r="A75" s="2"/>
      <c r="B75" s="51"/>
      <c r="C75" s="52"/>
      <c r="D75" s="52"/>
      <c r="E75" s="80"/>
      <c r="F75" s="53"/>
      <c r="G75" s="53"/>
    </row>
    <row r="76" spans="1:7" ht="12" customHeight="1" x14ac:dyDescent="0.3">
      <c r="A76" s="5"/>
      <c r="B76" s="40" t="s">
        <v>35</v>
      </c>
      <c r="C76" s="41"/>
      <c r="D76" s="42"/>
      <c r="E76" s="42"/>
      <c r="F76" s="43"/>
      <c r="G76" s="43"/>
    </row>
    <row r="77" spans="1:7" ht="24" customHeight="1" x14ac:dyDescent="0.3">
      <c r="A77" s="5"/>
      <c r="B77" s="54" t="s">
        <v>36</v>
      </c>
      <c r="C77" s="55" t="s">
        <v>27</v>
      </c>
      <c r="D77" s="55" t="s">
        <v>28</v>
      </c>
      <c r="E77" s="54" t="s">
        <v>17</v>
      </c>
      <c r="F77" s="55" t="s">
        <v>18</v>
      </c>
      <c r="G77" s="54" t="s">
        <v>19</v>
      </c>
    </row>
    <row r="78" spans="1:7" ht="12.75" customHeight="1" x14ac:dyDescent="0.3">
      <c r="A78" s="25"/>
      <c r="B78" s="157" t="s">
        <v>129</v>
      </c>
      <c r="C78" s="67" t="s">
        <v>130</v>
      </c>
      <c r="D78" s="81">
        <v>1</v>
      </c>
      <c r="E78" s="33" t="s">
        <v>113</v>
      </c>
      <c r="F78" s="153">
        <f>gerberas!F78*'Al 22.06.22'!$I$46</f>
        <v>49115</v>
      </c>
      <c r="G78" s="69">
        <f t="shared" ref="G78:G82" si="4">+F78*D78</f>
        <v>49115</v>
      </c>
    </row>
    <row r="79" spans="1:7" ht="20.399999999999999" customHeight="1" x14ac:dyDescent="0.3">
      <c r="A79" s="25"/>
      <c r="B79" s="157" t="s">
        <v>131</v>
      </c>
      <c r="C79" s="67" t="s">
        <v>132</v>
      </c>
      <c r="D79" s="81">
        <v>1.5</v>
      </c>
      <c r="E79" s="33" t="s">
        <v>133</v>
      </c>
      <c r="F79" s="153">
        <f>gerberas!F79*'Al 22.06.22'!$I$46</f>
        <v>313500</v>
      </c>
      <c r="G79" s="69">
        <f>+F79*D79</f>
        <v>470250</v>
      </c>
    </row>
    <row r="80" spans="1:7" ht="12.75" customHeight="1" x14ac:dyDescent="0.3">
      <c r="A80" s="25"/>
      <c r="B80" s="157" t="s">
        <v>134</v>
      </c>
      <c r="C80" s="67" t="s">
        <v>135</v>
      </c>
      <c r="D80" s="81">
        <v>0.5</v>
      </c>
      <c r="E80" s="33" t="s">
        <v>133</v>
      </c>
      <c r="F80" s="153">
        <f>gerberas!F80*'Al 22.06.22'!$I$46</f>
        <v>33440</v>
      </c>
      <c r="G80" s="69">
        <f t="shared" si="4"/>
        <v>16720</v>
      </c>
    </row>
    <row r="81" spans="1:8" ht="16.8" customHeight="1" x14ac:dyDescent="0.3">
      <c r="A81" s="25"/>
      <c r="B81" s="157" t="s">
        <v>136</v>
      </c>
      <c r="C81" s="67" t="s">
        <v>137</v>
      </c>
      <c r="D81" s="69">
        <f>32*4*4*5</f>
        <v>2560</v>
      </c>
      <c r="E81" s="33" t="s">
        <v>133</v>
      </c>
      <c r="F81" s="153">
        <f>gerberas!F81*'Al 22.06.22'!$I$46</f>
        <v>74.194999999999993</v>
      </c>
      <c r="G81" s="69">
        <f t="shared" si="4"/>
        <v>189939.19999999998</v>
      </c>
    </row>
    <row r="82" spans="1:8" ht="12.75" customHeight="1" x14ac:dyDescent="0.3">
      <c r="A82" s="25"/>
      <c r="B82" s="157" t="s">
        <v>138</v>
      </c>
      <c r="C82" s="67" t="s">
        <v>139</v>
      </c>
      <c r="D82" s="69">
        <v>12</v>
      </c>
      <c r="E82" s="33" t="s">
        <v>113</v>
      </c>
      <c r="F82" s="153">
        <f>gerberas!F82*'Al 22.06.22'!$I$46</f>
        <v>19593.75</v>
      </c>
      <c r="G82" s="69">
        <f t="shared" si="4"/>
        <v>235125</v>
      </c>
    </row>
    <row r="83" spans="1:8" ht="25.2" customHeight="1" x14ac:dyDescent="0.3">
      <c r="A83" s="25"/>
      <c r="B83" s="157" t="s">
        <v>80</v>
      </c>
      <c r="C83" s="67" t="s">
        <v>81</v>
      </c>
      <c r="D83" s="69">
        <v>40</v>
      </c>
      <c r="E83" s="33" t="s">
        <v>82</v>
      </c>
      <c r="F83" s="153">
        <f>gerberas!F83*'Al 22.06.22'!$I$46</f>
        <v>6792.4999999999991</v>
      </c>
      <c r="G83" s="69">
        <f>(D83*F83)</f>
        <v>271699.99999999994</v>
      </c>
    </row>
    <row r="84" spans="1:8" ht="12.75" customHeight="1" x14ac:dyDescent="0.3">
      <c r="A84" s="25"/>
      <c r="B84" s="157" t="s">
        <v>105</v>
      </c>
      <c r="C84" s="67" t="s">
        <v>112</v>
      </c>
      <c r="D84" s="69">
        <v>1</v>
      </c>
      <c r="E84" s="33" t="s">
        <v>113</v>
      </c>
      <c r="F84" s="153">
        <f>gerberas!F84*'Al 22.06.22'!$I$46</f>
        <v>501599.99999999994</v>
      </c>
      <c r="G84" s="69">
        <f>+F84*D84</f>
        <v>501599.99999999994</v>
      </c>
    </row>
    <row r="85" spans="1:8" ht="13.5" customHeight="1" x14ac:dyDescent="0.3">
      <c r="A85" s="5"/>
      <c r="B85" s="82" t="s">
        <v>37</v>
      </c>
      <c r="C85" s="83"/>
      <c r="D85" s="83"/>
      <c r="E85" s="83"/>
      <c r="F85" s="84"/>
      <c r="G85" s="85">
        <f>SUM(G78:G84)</f>
        <v>1734449.2</v>
      </c>
    </row>
    <row r="86" spans="1:8" ht="12" customHeight="1" x14ac:dyDescent="0.3">
      <c r="A86" s="2"/>
      <c r="B86" s="102"/>
      <c r="C86" s="102"/>
      <c r="D86" s="102"/>
      <c r="E86" s="102"/>
      <c r="F86" s="103"/>
      <c r="G86" s="103"/>
    </row>
    <row r="87" spans="1:8" ht="12" customHeight="1" x14ac:dyDescent="0.3">
      <c r="A87" s="99"/>
      <c r="B87" s="104" t="s">
        <v>38</v>
      </c>
      <c r="C87" s="105"/>
      <c r="D87" s="105"/>
      <c r="E87" s="105"/>
      <c r="F87" s="105"/>
      <c r="G87" s="106">
        <f>G30+G41+G74+G85</f>
        <v>14660622.887079999</v>
      </c>
    </row>
    <row r="88" spans="1:8" ht="12" customHeight="1" x14ac:dyDescent="0.3">
      <c r="A88" s="99"/>
      <c r="B88" s="107" t="s">
        <v>39</v>
      </c>
      <c r="C88" s="87"/>
      <c r="D88" s="87"/>
      <c r="E88" s="87"/>
      <c r="F88" s="87"/>
      <c r="G88" s="108">
        <f>G87*0.05</f>
        <v>733031.14435399999</v>
      </c>
    </row>
    <row r="89" spans="1:8" ht="12" customHeight="1" x14ac:dyDescent="0.3">
      <c r="A89" s="99"/>
      <c r="B89" s="109" t="s">
        <v>40</v>
      </c>
      <c r="C89" s="86"/>
      <c r="D89" s="86"/>
      <c r="E89" s="86"/>
      <c r="F89" s="86"/>
      <c r="G89" s="110">
        <f>G88+G87</f>
        <v>15393654.031434</v>
      </c>
    </row>
    <row r="90" spans="1:8" ht="12" customHeight="1" x14ac:dyDescent="0.3">
      <c r="A90" s="99"/>
      <c r="B90" s="107" t="s">
        <v>41</v>
      </c>
      <c r="C90" s="87"/>
      <c r="D90" s="87"/>
      <c r="E90" s="87"/>
      <c r="F90" s="87"/>
      <c r="G90" s="108">
        <f>G12</f>
        <v>28800000</v>
      </c>
    </row>
    <row r="91" spans="1:8" ht="12" customHeight="1" x14ac:dyDescent="0.3">
      <c r="A91" s="99"/>
      <c r="B91" s="111" t="s">
        <v>42</v>
      </c>
      <c r="C91" s="112"/>
      <c r="D91" s="112"/>
      <c r="E91" s="112"/>
      <c r="F91" s="112"/>
      <c r="G91" s="113">
        <f>G90-G89</f>
        <v>13406345.968566</v>
      </c>
      <c r="H91" s="149"/>
    </row>
    <row r="92" spans="1:8" ht="12" customHeight="1" x14ac:dyDescent="0.3">
      <c r="A92" s="99"/>
      <c r="B92" s="100" t="s">
        <v>43</v>
      </c>
      <c r="C92" s="101"/>
      <c r="D92" s="101"/>
      <c r="E92" s="101"/>
      <c r="F92" s="101"/>
      <c r="G92" s="96"/>
    </row>
    <row r="93" spans="1:8" ht="12.75" customHeight="1" thickBot="1" x14ac:dyDescent="0.35">
      <c r="A93" s="99"/>
      <c r="B93" s="114"/>
      <c r="C93" s="101"/>
      <c r="D93" s="101"/>
      <c r="E93" s="101"/>
      <c r="F93" s="101"/>
      <c r="G93" s="96"/>
    </row>
    <row r="94" spans="1:8" ht="12" customHeight="1" x14ac:dyDescent="0.3">
      <c r="A94" s="99"/>
      <c r="B94" s="126" t="s">
        <v>44</v>
      </c>
      <c r="C94" s="127"/>
      <c r="D94" s="127"/>
      <c r="E94" s="127"/>
      <c r="F94" s="128"/>
      <c r="G94" s="96"/>
    </row>
    <row r="95" spans="1:8" ht="12" customHeight="1" x14ac:dyDescent="0.3">
      <c r="A95" s="99"/>
      <c r="B95" s="129" t="s">
        <v>45</v>
      </c>
      <c r="C95" s="98"/>
      <c r="D95" s="98"/>
      <c r="E95" s="98"/>
      <c r="F95" s="130"/>
      <c r="G95" s="96"/>
    </row>
    <row r="96" spans="1:8" ht="12" customHeight="1" x14ac:dyDescent="0.3">
      <c r="A96" s="99"/>
      <c r="B96" s="129" t="s">
        <v>46</v>
      </c>
      <c r="C96" s="98"/>
      <c r="D96" s="98"/>
      <c r="E96" s="98"/>
      <c r="F96" s="130"/>
      <c r="G96" s="96"/>
    </row>
    <row r="97" spans="1:7" ht="12" customHeight="1" x14ac:dyDescent="0.3">
      <c r="A97" s="99"/>
      <c r="B97" s="129" t="s">
        <v>47</v>
      </c>
      <c r="C97" s="98"/>
      <c r="D97" s="98"/>
      <c r="E97" s="98"/>
      <c r="F97" s="130"/>
      <c r="G97" s="96"/>
    </row>
    <row r="98" spans="1:7" ht="12" customHeight="1" x14ac:dyDescent="0.3">
      <c r="A98" s="99"/>
      <c r="B98" s="129" t="s">
        <v>48</v>
      </c>
      <c r="C98" s="98"/>
      <c r="D98" s="98"/>
      <c r="E98" s="98"/>
      <c r="F98" s="130"/>
      <c r="G98" s="96"/>
    </row>
    <row r="99" spans="1:7" ht="12" customHeight="1" x14ac:dyDescent="0.3">
      <c r="A99" s="99"/>
      <c r="B99" s="129" t="s">
        <v>49</v>
      </c>
      <c r="C99" s="98"/>
      <c r="D99" s="98"/>
      <c r="E99" s="98"/>
      <c r="F99" s="130"/>
      <c r="G99" s="96"/>
    </row>
    <row r="100" spans="1:7" ht="12.75" customHeight="1" thickBot="1" x14ac:dyDescent="0.35">
      <c r="A100" s="99"/>
      <c r="B100" s="131" t="s">
        <v>50</v>
      </c>
      <c r="C100" s="132"/>
      <c r="D100" s="132"/>
      <c r="E100" s="132"/>
      <c r="F100" s="133"/>
      <c r="G100" s="96"/>
    </row>
    <row r="101" spans="1:7" ht="12.75" customHeight="1" x14ac:dyDescent="0.3">
      <c r="A101" s="99"/>
      <c r="B101" s="124"/>
      <c r="C101" s="98"/>
      <c r="D101" s="98"/>
      <c r="E101" s="98"/>
      <c r="F101" s="98"/>
      <c r="G101" s="96"/>
    </row>
    <row r="102" spans="1:7" ht="15" customHeight="1" thickBot="1" x14ac:dyDescent="0.35">
      <c r="A102" s="99"/>
      <c r="B102" s="160" t="s">
        <v>51</v>
      </c>
      <c r="C102" s="161"/>
      <c r="D102" s="123"/>
      <c r="E102" s="89"/>
      <c r="F102" s="89"/>
      <c r="G102" s="96"/>
    </row>
    <row r="103" spans="1:7" ht="12" customHeight="1" x14ac:dyDescent="0.3">
      <c r="A103" s="99"/>
      <c r="B103" s="116" t="s">
        <v>36</v>
      </c>
      <c r="C103" s="90" t="s">
        <v>140</v>
      </c>
      <c r="D103" s="117" t="s">
        <v>52</v>
      </c>
      <c r="E103" s="89"/>
      <c r="F103" s="89"/>
      <c r="G103" s="96"/>
    </row>
    <row r="104" spans="1:7" ht="12" customHeight="1" x14ac:dyDescent="0.3">
      <c r="A104" s="99"/>
      <c r="B104" s="118" t="s">
        <v>53</v>
      </c>
      <c r="C104" s="91">
        <f>+G30</f>
        <v>6410000</v>
      </c>
      <c r="D104" s="119">
        <f>(C104/C110)</f>
        <v>0.41640535683800051</v>
      </c>
      <c r="E104" s="89"/>
      <c r="F104" s="89"/>
      <c r="G104" s="96"/>
    </row>
    <row r="105" spans="1:7" ht="12" customHeight="1" x14ac:dyDescent="0.3">
      <c r="A105" s="99"/>
      <c r="B105" s="118" t="s">
        <v>54</v>
      </c>
      <c r="C105" s="92">
        <v>0</v>
      </c>
      <c r="D105" s="119">
        <v>0</v>
      </c>
      <c r="E105" s="89"/>
      <c r="F105" s="89"/>
      <c r="G105" s="96"/>
    </row>
    <row r="106" spans="1:7" ht="12" customHeight="1" x14ac:dyDescent="0.3">
      <c r="A106" s="99"/>
      <c r="B106" s="118" t="s">
        <v>55</v>
      </c>
      <c r="C106" s="91">
        <f>+G41</f>
        <v>108000</v>
      </c>
      <c r="D106" s="119">
        <f>(C106/C110)</f>
        <v>7.0158780871301179E-3</v>
      </c>
      <c r="E106" s="89"/>
      <c r="F106" s="89"/>
      <c r="G106" s="96"/>
    </row>
    <row r="107" spans="1:7" ht="12" customHeight="1" x14ac:dyDescent="0.3">
      <c r="A107" s="99"/>
      <c r="B107" s="118" t="s">
        <v>26</v>
      </c>
      <c r="C107" s="91">
        <f>+G74</f>
        <v>6408173.6870799996</v>
      </c>
      <c r="D107" s="119">
        <f>(C107/C110)</f>
        <v>0.41628671620100355</v>
      </c>
      <c r="E107" s="89"/>
      <c r="F107" s="89"/>
      <c r="G107" s="96"/>
    </row>
    <row r="108" spans="1:7" ht="12" customHeight="1" x14ac:dyDescent="0.3">
      <c r="A108" s="99"/>
      <c r="B108" s="118" t="s">
        <v>56</v>
      </c>
      <c r="C108" s="93">
        <f>+G85</f>
        <v>1734449.2</v>
      </c>
      <c r="D108" s="119">
        <f>(C108/C110)</f>
        <v>0.11267300125481818</v>
      </c>
      <c r="E108" s="95"/>
      <c r="F108" s="95"/>
      <c r="G108" s="96"/>
    </row>
    <row r="109" spans="1:7" ht="12" customHeight="1" x14ac:dyDescent="0.3">
      <c r="A109" s="99"/>
      <c r="B109" s="118" t="s">
        <v>57</v>
      </c>
      <c r="C109" s="93">
        <f>+G88</f>
        <v>733031.14435399999</v>
      </c>
      <c r="D109" s="119">
        <f>(C109/C110)</f>
        <v>4.7619047619047616E-2</v>
      </c>
      <c r="E109" s="95"/>
      <c r="F109" s="95"/>
      <c r="G109" s="96"/>
    </row>
    <row r="110" spans="1:7" ht="12.75" customHeight="1" thickBot="1" x14ac:dyDescent="0.35">
      <c r="A110" s="99"/>
      <c r="B110" s="120" t="s">
        <v>58</v>
      </c>
      <c r="C110" s="121">
        <f>SUM(C104:C109)</f>
        <v>15393654.031434</v>
      </c>
      <c r="D110" s="122">
        <f>SUM(D104:D109)</f>
        <v>1</v>
      </c>
      <c r="E110" s="95"/>
      <c r="F110" s="95"/>
      <c r="G110" s="96"/>
    </row>
    <row r="111" spans="1:7" ht="12" customHeight="1" x14ac:dyDescent="0.3">
      <c r="A111" s="99"/>
      <c r="B111" s="114"/>
      <c r="C111" s="101"/>
      <c r="D111" s="101"/>
      <c r="E111" s="101"/>
      <c r="F111" s="101"/>
      <c r="G111" s="96"/>
    </row>
    <row r="112" spans="1:7" ht="12.75" customHeight="1" x14ac:dyDescent="0.3">
      <c r="A112" s="99"/>
      <c r="B112" s="115"/>
      <c r="C112" s="101"/>
      <c r="D112" s="101"/>
      <c r="E112" s="101"/>
      <c r="F112" s="101"/>
      <c r="G112" s="96"/>
    </row>
    <row r="113" spans="1:7" ht="12" customHeight="1" thickBot="1" x14ac:dyDescent="0.35">
      <c r="A113" s="88"/>
      <c r="B113" s="135"/>
      <c r="C113" s="136" t="s">
        <v>141</v>
      </c>
      <c r="D113" s="137"/>
      <c r="E113" s="138"/>
      <c r="F113" s="94"/>
      <c r="G113" s="96"/>
    </row>
    <row r="114" spans="1:7" ht="12" customHeight="1" x14ac:dyDescent="0.3">
      <c r="A114" s="99"/>
      <c r="B114" s="139" t="s">
        <v>142</v>
      </c>
      <c r="C114" s="154">
        <f>18*4000</f>
        <v>72000</v>
      </c>
      <c r="D114" s="154">
        <f>24*4000</f>
        <v>96000</v>
      </c>
      <c r="E114" s="155">
        <f>30*4000</f>
        <v>120000</v>
      </c>
      <c r="F114" s="134"/>
      <c r="G114" s="97"/>
    </row>
    <row r="115" spans="1:7" ht="12.75" customHeight="1" thickBot="1" x14ac:dyDescent="0.35">
      <c r="A115" s="99"/>
      <c r="B115" s="120" t="s">
        <v>114</v>
      </c>
      <c r="C115" s="121">
        <f>(G89/C114)</f>
        <v>213.80075043658331</v>
      </c>
      <c r="D115" s="121">
        <f>(G89/D114)</f>
        <v>160.3505628274375</v>
      </c>
      <c r="E115" s="140">
        <f>(G89/E114)</f>
        <v>128.28045026194999</v>
      </c>
      <c r="F115" s="134"/>
      <c r="G115" s="97"/>
    </row>
    <row r="116" spans="1:7" ht="15.6" customHeight="1" x14ac:dyDescent="0.3">
      <c r="A116" s="99"/>
      <c r="B116" s="125" t="s">
        <v>59</v>
      </c>
      <c r="C116" s="98"/>
      <c r="D116" s="98"/>
      <c r="E116" s="98"/>
      <c r="F116" s="98"/>
      <c r="G116" s="98"/>
    </row>
  </sheetData>
  <mergeCells count="8">
    <mergeCell ref="B17:G17"/>
    <mergeCell ref="B102:C10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4E84A5-6BBE-4D3D-8A1A-976B355287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454-D065-475C-803C-85769463458D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c5dbce2d-49dc-4afe-a5b0-d7fb7a901161"/>
    <ds:schemaRef ds:uri="http://schemas.microsoft.com/sharepoint/v3"/>
    <ds:schemaRef ds:uri="http://purl.org/dc/elements/1.1/"/>
    <ds:schemaRef ds:uri="http://purl.org/dc/terms/"/>
    <ds:schemaRef ds:uri="1030f0af-99cb-42f1-88fc-acec7333119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A0DAB97-487B-49C7-B469-6B53DEEA8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gerberas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2022-06-30T16:32:32Z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