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Quillota\"/>
    </mc:Choice>
  </mc:AlternateContent>
  <bookViews>
    <workbookView xWindow="0" yWindow="0" windowWidth="23040" windowHeight="8616" activeTab="1"/>
  </bookViews>
  <sheets>
    <sheet name="LISIANTHUS" sheetId="1" r:id="rId1"/>
    <sheet name="A juni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F45" i="2" l="1"/>
  <c r="F46" i="2"/>
  <c r="F47" i="2"/>
  <c r="F48" i="2"/>
  <c r="F49" i="2"/>
  <c r="F50" i="2"/>
  <c r="F51" i="2"/>
  <c r="G51" i="2" s="1"/>
  <c r="F52" i="2"/>
  <c r="G52" i="2" s="1"/>
  <c r="F53" i="2"/>
  <c r="G53" i="2" s="1"/>
  <c r="G46" i="2"/>
  <c r="G48" i="2"/>
  <c r="G50" i="2"/>
  <c r="F44" i="2"/>
  <c r="G44" i="2" s="1"/>
  <c r="F31" i="2"/>
  <c r="G64" i="2"/>
  <c r="G59" i="2"/>
  <c r="G49" i="2"/>
  <c r="G47" i="2"/>
  <c r="G45" i="2"/>
  <c r="G39" i="2"/>
  <c r="G38" i="2"/>
  <c r="G37" i="2"/>
  <c r="G40" i="2" s="1"/>
  <c r="C80" i="2" s="1"/>
  <c r="G33" i="2"/>
  <c r="C79" i="2" s="1"/>
  <c r="G26" i="2"/>
  <c r="G25" i="2"/>
  <c r="G24" i="2"/>
  <c r="G23" i="2"/>
  <c r="G22" i="2"/>
  <c r="G21" i="2"/>
  <c r="G54" i="2" l="1"/>
  <c r="C81" i="2" s="1"/>
  <c r="G27" i="2"/>
  <c r="C78" i="2" s="1"/>
  <c r="G53" i="1"/>
  <c r="G52" i="1"/>
  <c r="G51" i="1"/>
  <c r="G50" i="1"/>
  <c r="G49" i="1"/>
  <c r="G48" i="1"/>
  <c r="G47" i="1"/>
  <c r="G46" i="1"/>
  <c r="G45" i="1"/>
  <c r="G44" i="1"/>
  <c r="G39" i="1"/>
  <c r="G38" i="1"/>
  <c r="G37" i="1"/>
  <c r="G26" i="1"/>
  <c r="G25" i="1"/>
  <c r="G24" i="1"/>
  <c r="G23" i="1"/>
  <c r="G22" i="1"/>
  <c r="G21" i="1"/>
  <c r="G61" i="2" l="1"/>
  <c r="G62" i="2" s="1"/>
  <c r="C83" i="2" s="1"/>
  <c r="G33" i="1"/>
  <c r="G63" i="2" l="1"/>
  <c r="E89" i="2" s="1"/>
  <c r="C84" i="2"/>
  <c r="C79" i="1"/>
  <c r="G65" i="2" l="1"/>
  <c r="D89" i="2"/>
  <c r="D82" i="2"/>
  <c r="D81" i="2"/>
  <c r="D80" i="2"/>
  <c r="D79" i="2"/>
  <c r="D78" i="2"/>
  <c r="D83" i="2"/>
  <c r="G27" i="1"/>
  <c r="D84" i="2" l="1"/>
  <c r="C78" i="1"/>
  <c r="G59" i="1"/>
  <c r="G64" i="1"/>
  <c r="G54" i="1" l="1"/>
  <c r="C81" i="1" s="1"/>
  <c r="G40" i="1"/>
  <c r="C80" i="1" l="1"/>
  <c r="G61" i="1"/>
  <c r="G62" i="1" s="1"/>
  <c r="G63" i="1" l="1"/>
  <c r="D89" i="1" s="1"/>
  <c r="C83" i="1"/>
  <c r="E89" i="1" l="1"/>
  <c r="G65" i="1"/>
  <c r="C84" i="1"/>
  <c r="D81" i="1" l="1"/>
  <c r="D82" i="1"/>
  <c r="D80" i="1"/>
  <c r="D79" i="1"/>
  <c r="D78" i="1"/>
  <c r="D83" i="1"/>
  <c r="D84" i="1" l="1"/>
</calcChain>
</file>

<file path=xl/sharedStrings.xml><?xml version="1.0" encoding="utf-8"?>
<sst xmlns="http://schemas.openxmlformats.org/spreadsheetml/2006/main" count="308" uniqueCount="104">
  <si>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</si>
  <si>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</si>
  <si>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</si>
  <si>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</si>
  <si>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</si>
  <si>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</si>
  <si>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</si>
  <si>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</si>
  <si>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</si>
  <si>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</si>
  <si>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</si>
  <si>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</si>
  <si>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</si>
  <si>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</si>
  <si>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</si>
  <si>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</si>
  <si>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</si>
  <si>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</si>
  <si>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</si>
  <si>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</si>
  <si>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</si>
  <si>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</si>
  <si>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</si>
  <si>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</si>
  <si>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</si>
  <si>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</si>
  <si>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</si>
  <si>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</si>
  <si>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</si>
  <si>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</si>
  <si>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</si>
  <si>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</si>
  <si>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</si>
  <si>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</si>
  <si>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</si>
  <si>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</si>
  <si>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</si>
  <si>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</si>
  <si>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</si>
  <si>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</si>
  <si>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</si>
  <si>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</si>
  <si>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</si>
  <si>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</si>
  <si>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</si>
  <si>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</si>
  <si>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</si>
  <si>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</si>
  <si>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</si>
  <si>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</si>
  <si>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</si>
  <si>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</si>
  <si>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</si>
  <si>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</si>
  <si>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</si>
  <si>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</si>
  <si>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</si>
  <si>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</si>
  <si>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</si>
  <si>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</si>
  <si>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Valparaiso </t>
  </si>
  <si>
    <t>Quillota</t>
  </si>
  <si>
    <t>RENDIMIENTO (varas/Há.)</t>
  </si>
  <si>
    <t>Anual, todo el año</t>
  </si>
  <si>
    <t>PRECIO ESPERADO ($/vara)</t>
  </si>
  <si>
    <t>Mercado Interno</t>
  </si>
  <si>
    <t>Anual, desde Enero a Dic</t>
  </si>
  <si>
    <t>Marzo</t>
  </si>
  <si>
    <t>Aplicación de pesticidas</t>
  </si>
  <si>
    <t>Aplicación de fertilizantes</t>
  </si>
  <si>
    <t>Control de malezas</t>
  </si>
  <si>
    <t>Labores de manejo en general</t>
  </si>
  <si>
    <t>Riegos</t>
  </si>
  <si>
    <t>Cosecha, selección, embalaje</t>
  </si>
  <si>
    <t xml:space="preserve">Aradura </t>
  </si>
  <si>
    <t>Rastrajes</t>
  </si>
  <si>
    <t>Melgadura</t>
  </si>
  <si>
    <t>u</t>
  </si>
  <si>
    <t>anual</t>
  </si>
  <si>
    <t>Kg.</t>
  </si>
  <si>
    <t>l</t>
  </si>
  <si>
    <t>Nitrato de Amonio</t>
  </si>
  <si>
    <t>Nitrato de Calcio</t>
  </si>
  <si>
    <t>Sulfato de Magnesio</t>
  </si>
  <si>
    <t>Acido Fosforico</t>
  </si>
  <si>
    <t>Todas</t>
  </si>
  <si>
    <t>Lluvias , viento, heladas</t>
  </si>
  <si>
    <t>Sep-May</t>
  </si>
  <si>
    <t>JORNADAS INVERNADERO</t>
  </si>
  <si>
    <t>Subtotal Jornadas Invernadero</t>
  </si>
  <si>
    <t>Plasticos</t>
  </si>
  <si>
    <t>kilos</t>
  </si>
  <si>
    <t>marzo</t>
  </si>
  <si>
    <t>Postura plasticos</t>
  </si>
  <si>
    <t>Septiembre</t>
  </si>
  <si>
    <t>PLANTINES</t>
  </si>
  <si>
    <t>Fungicida</t>
  </si>
  <si>
    <t>Insecticida</t>
  </si>
  <si>
    <t>Sep-Feb</t>
  </si>
  <si>
    <t>Acaricida</t>
  </si>
  <si>
    <t>Sulfato de Potasio</t>
  </si>
  <si>
    <t>LISIANTHUS</t>
  </si>
  <si>
    <t>Mariachis, Abc2, Abc3, Rosita, Eco</t>
  </si>
  <si>
    <t>Jornada Invernaderos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</si>
</sst>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%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indexed="8"/>
      <name val="Helvetica Neue"/>
      <family val="2"/>
      <scheme val="minor"/>
    </font>
    <font>
      <b/>
      <sz val="7"/>
      <color indexed="8"/>
      <name val="Helvetica Neue"/>
      <family val="2"/>
      <scheme val="minor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165" fontId="20" fillId="0" borderId="56" xfId="0" applyNumberFormat="1" applyFont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3" fontId="12" fillId="8" borderId="55" xfId="0" applyNumberFormat="1" applyFont="1" applyFill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18" fillId="0" borderId="58" xfId="0" applyFont="1" applyBorder="1" applyAlignment="1">
      <alignment horizontal="center" vertical="center"/>
    </xf>
    <xf numFmtId="2" fontId="18" fillId="0" borderId="59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3" fontId="18" fillId="0" borderId="60" xfId="0" applyNumberFormat="1" applyFont="1" applyBorder="1" applyAlignment="1">
      <alignment vertical="center"/>
    </xf>
    <xf numFmtId="3" fontId="18" fillId="0" borderId="57" xfId="0" applyNumberFormat="1" applyFont="1" applyBorder="1" applyAlignment="1">
      <alignment vertical="center"/>
    </xf>
    <xf numFmtId="0" fontId="18" fillId="0" borderId="61" xfId="0" applyFont="1" applyBorder="1" applyAlignment="1">
      <alignment vertical="center"/>
    </xf>
    <xf numFmtId="0" fontId="18" fillId="0" borderId="62" xfId="0" applyFont="1" applyBorder="1" applyAlignment="1">
      <alignment horizontal="center" vertical="center"/>
    </xf>
    <xf numFmtId="2" fontId="18" fillId="0" borderId="63" xfId="0" applyNumberFormat="1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3" fontId="18" fillId="0" borderId="61" xfId="0" applyNumberFormat="1" applyFont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2" fontId="18" fillId="0" borderId="66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3" fontId="18" fillId="0" borderId="64" xfId="0" applyNumberFormat="1" applyFont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3" xfId="0" applyFont="1" applyFill="1" applyBorder="1" applyAlignment="1">
      <alignment horizontal="center" vertical="center"/>
    </xf>
    <xf numFmtId="3" fontId="18" fillId="0" borderId="75" xfId="0" applyNumberFormat="1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4" fontId="18" fillId="0" borderId="59" xfId="0" applyNumberFormat="1" applyFont="1" applyBorder="1" applyAlignment="1">
      <alignment horizontal="center" vertical="center"/>
    </xf>
    <xf numFmtId="4" fontId="18" fillId="0" borderId="63" xfId="0" applyNumberFormat="1" applyFont="1" applyBorder="1" applyAlignment="1">
      <alignment horizontal="center" vertical="center"/>
    </xf>
    <xf numFmtId="0" fontId="19" fillId="0" borderId="61" xfId="0" applyFont="1" applyBorder="1" applyAlignment="1">
      <alignment vertical="center"/>
    </xf>
    <xf numFmtId="4" fontId="18" fillId="0" borderId="66" xfId="0" applyNumberFormat="1" applyFont="1" applyBorder="1" applyAlignment="1">
      <alignment horizontal="center" vertical="center"/>
    </xf>
    <xf numFmtId="3" fontId="18" fillId="0" borderId="76" xfId="0" applyNumberFormat="1" applyFont="1" applyBorder="1" applyAlignment="1">
      <alignment vertical="center"/>
    </xf>
    <xf numFmtId="168" fontId="14" fillId="2" borderId="37" xfId="0" applyNumberFormat="1" applyFont="1" applyFill="1" applyBorder="1" applyAlignment="1"/>
    <xf numFmtId="0" fontId="21" fillId="0" borderId="67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/>
    </xf>
    <xf numFmtId="0" fontId="21" fillId="0" borderId="69" xfId="0" applyFont="1" applyFill="1" applyBorder="1" applyAlignment="1">
      <alignment horizontal="left" vertical="center"/>
    </xf>
    <xf numFmtId="0" fontId="21" fillId="0" borderId="70" xfId="0" applyFont="1" applyFill="1" applyBorder="1" applyAlignment="1">
      <alignment horizontal="left" vertical="center"/>
    </xf>
    <xf numFmtId="3" fontId="21" fillId="0" borderId="67" xfId="0" applyNumberFormat="1" applyFont="1" applyFill="1" applyBorder="1" applyAlignment="1">
      <alignment horizontal="right" vertical="center"/>
    </xf>
    <xf numFmtId="0" fontId="21" fillId="0" borderId="71" xfId="0" applyFont="1" applyFill="1" applyBorder="1" applyAlignment="1">
      <alignment horizontal="left" vertical="center"/>
    </xf>
    <xf numFmtId="0" fontId="21" fillId="0" borderId="72" xfId="0" applyFont="1" applyFill="1" applyBorder="1" applyAlignment="1">
      <alignment horizontal="left" vertical="center"/>
    </xf>
    <xf numFmtId="0" fontId="21" fillId="0" borderId="73" xfId="0" applyFont="1" applyFill="1" applyBorder="1" applyAlignment="1">
      <alignment horizontal="left" vertical="center"/>
    </xf>
    <xf numFmtId="0" fontId="21" fillId="0" borderId="74" xfId="0" applyFont="1" applyFill="1" applyBorder="1" applyAlignment="1">
      <alignment horizontal="left" vertical="center"/>
    </xf>
    <xf numFmtId="3" fontId="21" fillId="0" borderId="71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1" fillId="0" borderId="22" xfId="0" applyNumberFormat="1" applyFont="1" applyFill="1" applyBorder="1" applyAlignment="1">
      <alignment horizontal="left" vertical="center"/>
    </xf>
    <xf numFmtId="41" fontId="21" fillId="0" borderId="74" xfId="1" applyFont="1" applyFill="1" applyBorder="1" applyAlignment="1">
      <alignment horizontal="left" vertical="center"/>
    </xf>
    <xf numFmtId="41" fontId="21" fillId="0" borderId="70" xfId="1" applyFont="1" applyFill="1" applyBorder="1" applyAlignment="1">
      <alignment horizontal="left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368444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1</xdr:row>
      <xdr:rowOff>0</xdr:rowOff>
    </xdr:from>
    <xdr:to>
      <xdr:col>6</xdr:col>
      <xdr:colOff>1066799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93964"/>
          <a:ext cx="7072745" cy="124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opLeftCell="A49" zoomScale="110" zoomScaleNormal="110" workbookViewId="0">
      <selection activeCell="I53" sqref="I53"/>
    </sheetView>
  </sheetViews>
  <sheetFormatPr baseColWidth="10" defaultColWidth="10.88671875" defaultRowHeight="11.25" customHeight="1"/>
  <cols>
    <col min="1" max="1" width="4.44140625" style="1" customWidth="1"/>
    <col min="2" max="2" width="23.88671875" style="1" customWidth="1"/>
    <col min="3" max="3" width="18.88671875" style="1" customWidth="1"/>
    <col min="4" max="4" width="9.44140625" style="1" customWidth="1"/>
    <col min="5" max="5" width="14.44140625" style="1" customWidth="1"/>
    <col min="6" max="6" width="11" style="1" customWidth="1"/>
    <col min="7" max="7" width="16.109375" style="1" bestFit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101</v>
      </c>
      <c r="D9" s="8"/>
      <c r="E9" s="173" t="s">
        <v>62</v>
      </c>
      <c r="F9" s="174"/>
      <c r="G9" s="9">
        <v>690000</v>
      </c>
    </row>
    <row r="10" spans="1:7" ht="38.25" customHeight="1">
      <c r="A10" s="5"/>
      <c r="B10" s="10" t="s">
        <v>1</v>
      </c>
      <c r="C10" s="11" t="s">
        <v>102</v>
      </c>
      <c r="D10" s="12"/>
      <c r="E10" s="171" t="s">
        <v>2</v>
      </c>
      <c r="F10" s="172"/>
      <c r="G10" s="13" t="s">
        <v>63</v>
      </c>
    </row>
    <row r="11" spans="1:7" ht="18" customHeight="1">
      <c r="A11" s="5"/>
      <c r="B11" s="10" t="s">
        <v>3</v>
      </c>
      <c r="C11" s="13" t="s">
        <v>4</v>
      </c>
      <c r="D11" s="12"/>
      <c r="E11" s="171" t="s">
        <v>64</v>
      </c>
      <c r="F11" s="172"/>
      <c r="G11" s="14">
        <v>420</v>
      </c>
    </row>
    <row r="12" spans="1:7" ht="11.25" customHeight="1">
      <c r="A12" s="5"/>
      <c r="B12" s="10" t="s">
        <v>5</v>
      </c>
      <c r="C12" s="15" t="s">
        <v>60</v>
      </c>
      <c r="D12" s="12"/>
      <c r="E12" s="16" t="s">
        <v>6</v>
      </c>
      <c r="F12" s="17"/>
      <c r="G12" s="18">
        <v>289800000</v>
      </c>
    </row>
    <row r="13" spans="1:7" ht="11.25" customHeight="1">
      <c r="A13" s="5"/>
      <c r="B13" s="10" t="s">
        <v>7</v>
      </c>
      <c r="C13" s="13" t="s">
        <v>61</v>
      </c>
      <c r="D13" s="12"/>
      <c r="E13" s="171" t="s">
        <v>8</v>
      </c>
      <c r="F13" s="172"/>
      <c r="G13" s="13" t="s">
        <v>65</v>
      </c>
    </row>
    <row r="14" spans="1:7" ht="13.5" customHeight="1">
      <c r="A14" s="5"/>
      <c r="B14" s="10" t="s">
        <v>9</v>
      </c>
      <c r="C14" s="13" t="s">
        <v>85</v>
      </c>
      <c r="D14" s="12"/>
      <c r="E14" s="171" t="s">
        <v>10</v>
      </c>
      <c r="F14" s="172"/>
      <c r="G14" s="13" t="s">
        <v>66</v>
      </c>
    </row>
    <row r="15" spans="1:7" ht="25.5" customHeight="1">
      <c r="A15" s="5"/>
      <c r="B15" s="10" t="s">
        <v>11</v>
      </c>
      <c r="C15" s="19">
        <v>44592</v>
      </c>
      <c r="D15" s="12"/>
      <c r="E15" s="175" t="s">
        <v>12</v>
      </c>
      <c r="F15" s="176"/>
      <c r="G15" s="15" t="s">
        <v>86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77" t="s">
        <v>13</v>
      </c>
      <c r="C17" s="178"/>
      <c r="D17" s="178"/>
      <c r="E17" s="178"/>
      <c r="F17" s="178"/>
      <c r="G17" s="178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>
      <c r="A21" s="25"/>
      <c r="B21" s="127" t="s">
        <v>68</v>
      </c>
      <c r="C21" s="128" t="s">
        <v>21</v>
      </c>
      <c r="D21" s="129">
        <v>40</v>
      </c>
      <c r="E21" s="130" t="s">
        <v>87</v>
      </c>
      <c r="F21" s="131">
        <v>25000</v>
      </c>
      <c r="G21" s="132">
        <f>+F21*D21</f>
        <v>1000000</v>
      </c>
    </row>
    <row r="22" spans="1:7" ht="25.5" customHeight="1">
      <c r="A22" s="25"/>
      <c r="B22" s="133" t="s">
        <v>69</v>
      </c>
      <c r="C22" s="134" t="s">
        <v>21</v>
      </c>
      <c r="D22" s="135">
        <v>40</v>
      </c>
      <c r="E22" s="136" t="s">
        <v>87</v>
      </c>
      <c r="F22" s="131">
        <v>25000</v>
      </c>
      <c r="G22" s="137">
        <f t="shared" ref="G22:G26" si="0">+F22*D22</f>
        <v>1000000</v>
      </c>
    </row>
    <row r="23" spans="1:7" ht="25.5" customHeight="1">
      <c r="A23" s="25"/>
      <c r="B23" s="133" t="s">
        <v>70</v>
      </c>
      <c r="C23" s="134" t="s">
        <v>21</v>
      </c>
      <c r="D23" s="135">
        <v>35</v>
      </c>
      <c r="E23" s="136" t="s">
        <v>87</v>
      </c>
      <c r="F23" s="131">
        <v>25000</v>
      </c>
      <c r="G23" s="137">
        <f t="shared" si="0"/>
        <v>875000</v>
      </c>
    </row>
    <row r="24" spans="1:7" ht="25.5" customHeight="1">
      <c r="A24" s="25"/>
      <c r="B24" s="133" t="s">
        <v>71</v>
      </c>
      <c r="C24" s="134" t="s">
        <v>21</v>
      </c>
      <c r="D24" s="135">
        <v>40</v>
      </c>
      <c r="E24" s="136" t="s">
        <v>87</v>
      </c>
      <c r="F24" s="131">
        <v>25000</v>
      </c>
      <c r="G24" s="137">
        <f t="shared" si="0"/>
        <v>1000000</v>
      </c>
    </row>
    <row r="25" spans="1:7" ht="25.5" customHeight="1">
      <c r="A25" s="25"/>
      <c r="B25" s="133" t="s">
        <v>72</v>
      </c>
      <c r="C25" s="134" t="s">
        <v>21</v>
      </c>
      <c r="D25" s="135">
        <v>40</v>
      </c>
      <c r="E25" s="136" t="s">
        <v>87</v>
      </c>
      <c r="F25" s="131">
        <v>25000</v>
      </c>
      <c r="G25" s="137">
        <f t="shared" si="0"/>
        <v>1000000</v>
      </c>
    </row>
    <row r="26" spans="1:7" ht="25.5" customHeight="1">
      <c r="A26" s="25"/>
      <c r="B26" s="138" t="s">
        <v>73</v>
      </c>
      <c r="C26" s="139" t="s">
        <v>21</v>
      </c>
      <c r="D26" s="140">
        <v>350</v>
      </c>
      <c r="E26" s="141" t="s">
        <v>87</v>
      </c>
      <c r="F26" s="131">
        <v>25000</v>
      </c>
      <c r="G26" s="142">
        <f t="shared" si="0"/>
        <v>8750000</v>
      </c>
    </row>
    <row r="27" spans="1:7" ht="12.75" customHeight="1">
      <c r="A27" s="25"/>
      <c r="B27" s="33" t="s">
        <v>22</v>
      </c>
      <c r="C27" s="34"/>
      <c r="D27" s="34"/>
      <c r="E27" s="34"/>
      <c r="F27" s="35"/>
      <c r="G27" s="36">
        <f>SUM(G21:G26)</f>
        <v>13625000</v>
      </c>
    </row>
    <row r="28" spans="1:7" ht="12" customHeight="1">
      <c r="A28" s="2"/>
      <c r="B28" s="26"/>
      <c r="C28" s="28"/>
      <c r="D28" s="28"/>
      <c r="E28" s="28"/>
      <c r="F28" s="37"/>
      <c r="G28" s="37"/>
    </row>
    <row r="29" spans="1:7" ht="12" customHeight="1">
      <c r="A29" s="5"/>
      <c r="B29" s="38" t="s">
        <v>88</v>
      </c>
      <c r="C29" s="39"/>
      <c r="D29" s="40"/>
      <c r="E29" s="40"/>
      <c r="F29" s="41"/>
      <c r="G29" s="41"/>
    </row>
    <row r="30" spans="1:7" ht="24" customHeight="1" thickBot="1">
      <c r="A30" s="5"/>
      <c r="B30" s="42" t="s">
        <v>15</v>
      </c>
      <c r="C30" s="43" t="s">
        <v>16</v>
      </c>
      <c r="D30" s="43" t="s">
        <v>17</v>
      </c>
      <c r="E30" s="42" t="s">
        <v>18</v>
      </c>
      <c r="F30" s="43" t="s">
        <v>19</v>
      </c>
      <c r="G30" s="42" t="s">
        <v>20</v>
      </c>
    </row>
    <row r="31" spans="1:7" ht="12" customHeight="1">
      <c r="A31" s="5"/>
      <c r="B31" s="154" t="s">
        <v>90</v>
      </c>
      <c r="C31" s="155" t="s">
        <v>91</v>
      </c>
      <c r="D31" s="156">
        <v>3000</v>
      </c>
      <c r="E31" s="156" t="s">
        <v>92</v>
      </c>
      <c r="F31" s="157">
        <v>4100</v>
      </c>
      <c r="G31" s="158">
        <v>12300000</v>
      </c>
    </row>
    <row r="32" spans="1:7" ht="12" customHeight="1">
      <c r="A32" s="5"/>
      <c r="B32" s="159" t="s">
        <v>93</v>
      </c>
      <c r="C32" s="160" t="s">
        <v>21</v>
      </c>
      <c r="D32" s="161">
        <v>46</v>
      </c>
      <c r="E32" s="161" t="s">
        <v>67</v>
      </c>
      <c r="F32" s="162">
        <v>125000</v>
      </c>
      <c r="G32" s="163">
        <v>5750000</v>
      </c>
    </row>
    <row r="33" spans="1:11" ht="12" customHeight="1">
      <c r="A33" s="5"/>
      <c r="B33" s="44" t="s">
        <v>89</v>
      </c>
      <c r="C33" s="45"/>
      <c r="D33" s="45"/>
      <c r="E33" s="45"/>
      <c r="F33" s="46"/>
      <c r="G33" s="143">
        <f>SUM(G31:G32)</f>
        <v>18050000</v>
      </c>
    </row>
    <row r="34" spans="1:11" ht="12" customHeight="1">
      <c r="A34" s="2"/>
      <c r="B34" s="47"/>
      <c r="C34" s="48"/>
      <c r="D34" s="48"/>
      <c r="E34" s="48"/>
      <c r="F34" s="49"/>
      <c r="G34" s="49"/>
    </row>
    <row r="35" spans="1:11" ht="12" customHeight="1">
      <c r="A35" s="5"/>
      <c r="B35" s="38" t="s">
        <v>23</v>
      </c>
      <c r="C35" s="39"/>
      <c r="D35" s="40"/>
      <c r="E35" s="40"/>
      <c r="F35" s="41"/>
      <c r="G35" s="41"/>
    </row>
    <row r="36" spans="1:11" ht="24" customHeight="1">
      <c r="A36" s="5"/>
      <c r="B36" s="50" t="s">
        <v>15</v>
      </c>
      <c r="C36" s="50" t="s">
        <v>16</v>
      </c>
      <c r="D36" s="50" t="s">
        <v>17</v>
      </c>
      <c r="E36" s="50" t="s">
        <v>18</v>
      </c>
      <c r="F36" s="51" t="s">
        <v>19</v>
      </c>
      <c r="G36" s="50" t="s">
        <v>20</v>
      </c>
    </row>
    <row r="37" spans="1:11" ht="12.75" customHeight="1">
      <c r="A37" s="25"/>
      <c r="B37" s="127" t="s">
        <v>74</v>
      </c>
      <c r="C37" s="128" t="s">
        <v>24</v>
      </c>
      <c r="D37" s="130">
        <v>3</v>
      </c>
      <c r="E37" s="144" t="s">
        <v>94</v>
      </c>
      <c r="F37" s="131">
        <v>200000</v>
      </c>
      <c r="G37" s="132">
        <f>+F37*D37</f>
        <v>600000</v>
      </c>
    </row>
    <row r="38" spans="1:11" ht="12.75" customHeight="1">
      <c r="A38" s="25"/>
      <c r="B38" s="133" t="s">
        <v>75</v>
      </c>
      <c r="C38" s="134" t="s">
        <v>24</v>
      </c>
      <c r="D38" s="136">
        <v>3</v>
      </c>
      <c r="E38" s="145" t="s">
        <v>94</v>
      </c>
      <c r="F38" s="146">
        <v>200000</v>
      </c>
      <c r="G38" s="137">
        <f>+F38*D38</f>
        <v>600000</v>
      </c>
    </row>
    <row r="39" spans="1:11" ht="12.75" customHeight="1">
      <c r="A39" s="25"/>
      <c r="B39" s="133" t="s">
        <v>76</v>
      </c>
      <c r="C39" s="134" t="s">
        <v>24</v>
      </c>
      <c r="D39" s="136">
        <v>1</v>
      </c>
      <c r="E39" s="145" t="s">
        <v>94</v>
      </c>
      <c r="F39" s="146">
        <v>200000</v>
      </c>
      <c r="G39" s="137">
        <f>+F39*D39</f>
        <v>200000</v>
      </c>
    </row>
    <row r="40" spans="1:11" ht="12.75" customHeight="1">
      <c r="A40" s="5"/>
      <c r="B40" s="52" t="s">
        <v>25</v>
      </c>
      <c r="C40" s="53"/>
      <c r="D40" s="53"/>
      <c r="E40" s="53"/>
      <c r="F40" s="54">
        <v>15000</v>
      </c>
      <c r="G40" s="55">
        <f>SUM(G37:G39)</f>
        <v>1400000</v>
      </c>
    </row>
    <row r="41" spans="1:11" ht="12" customHeight="1">
      <c r="A41" s="2"/>
      <c r="B41" s="47"/>
      <c r="C41" s="48"/>
      <c r="D41" s="48"/>
      <c r="E41" s="48"/>
      <c r="F41" s="49"/>
      <c r="G41" s="49"/>
    </row>
    <row r="42" spans="1:11" ht="12" customHeight="1">
      <c r="A42" s="5"/>
      <c r="B42" s="38" t="s">
        <v>26</v>
      </c>
      <c r="C42" s="39"/>
      <c r="D42" s="40"/>
      <c r="E42" s="40"/>
      <c r="F42" s="41"/>
      <c r="G42" s="41"/>
    </row>
    <row r="43" spans="1:11" ht="24" customHeight="1">
      <c r="A43" s="5"/>
      <c r="B43" s="51" t="s">
        <v>27</v>
      </c>
      <c r="C43" s="51" t="s">
        <v>28</v>
      </c>
      <c r="D43" s="51" t="s">
        <v>29</v>
      </c>
      <c r="E43" s="51" t="s">
        <v>18</v>
      </c>
      <c r="F43" s="51" t="s">
        <v>19</v>
      </c>
      <c r="G43" s="51" t="s">
        <v>20</v>
      </c>
      <c r="K43" s="120"/>
    </row>
    <row r="44" spans="1:11" ht="12.75" customHeight="1">
      <c r="A44" s="25"/>
      <c r="B44" s="147" t="s">
        <v>95</v>
      </c>
      <c r="C44" s="128" t="s">
        <v>77</v>
      </c>
      <c r="D44" s="148">
        <v>230000</v>
      </c>
      <c r="E44" s="130" t="s">
        <v>78</v>
      </c>
      <c r="F44" s="131">
        <v>110</v>
      </c>
      <c r="G44" s="132">
        <f>+F44*D44</f>
        <v>25300000</v>
      </c>
      <c r="K44" s="120"/>
    </row>
    <row r="45" spans="1:11" ht="12.75" customHeight="1">
      <c r="A45" s="25"/>
      <c r="B45" s="133" t="s">
        <v>96</v>
      </c>
      <c r="C45" s="134" t="s">
        <v>79</v>
      </c>
      <c r="D45" s="149">
        <v>20</v>
      </c>
      <c r="E45" s="136" t="s">
        <v>87</v>
      </c>
      <c r="F45" s="146">
        <v>15000</v>
      </c>
      <c r="G45" s="137">
        <f>+D45*F45</f>
        <v>300000</v>
      </c>
    </row>
    <row r="46" spans="1:11" ht="12.75" customHeight="1">
      <c r="A46" s="25"/>
      <c r="B46" s="133" t="s">
        <v>97</v>
      </c>
      <c r="C46" s="134" t="s">
        <v>79</v>
      </c>
      <c r="D46" s="149">
        <v>22</v>
      </c>
      <c r="E46" s="136" t="s">
        <v>98</v>
      </c>
      <c r="F46" s="146">
        <v>30000</v>
      </c>
      <c r="G46" s="137">
        <f t="shared" ref="G46:G53" si="1">+D46*F46</f>
        <v>660000</v>
      </c>
    </row>
    <row r="47" spans="1:11" ht="12.75" customHeight="1">
      <c r="A47" s="25"/>
      <c r="B47" s="133" t="s">
        <v>99</v>
      </c>
      <c r="C47" s="134" t="s">
        <v>79</v>
      </c>
      <c r="D47" s="149">
        <v>6</v>
      </c>
      <c r="E47" s="136" t="s">
        <v>98</v>
      </c>
      <c r="F47" s="146">
        <v>36000</v>
      </c>
      <c r="G47" s="137">
        <f t="shared" si="1"/>
        <v>216000</v>
      </c>
    </row>
    <row r="48" spans="1:11" ht="12.75" customHeight="1">
      <c r="A48" s="25"/>
      <c r="B48" s="150" t="s">
        <v>30</v>
      </c>
      <c r="C48" s="134"/>
      <c r="D48" s="149"/>
      <c r="E48" s="136"/>
      <c r="F48" s="146"/>
      <c r="G48" s="137">
        <f t="shared" si="1"/>
        <v>0</v>
      </c>
    </row>
    <row r="49" spans="1:7" ht="12.75" customHeight="1">
      <c r="A49" s="25"/>
      <c r="B49" s="133" t="s">
        <v>81</v>
      </c>
      <c r="C49" s="134" t="s">
        <v>79</v>
      </c>
      <c r="D49" s="149">
        <v>200</v>
      </c>
      <c r="E49" s="136" t="s">
        <v>87</v>
      </c>
      <c r="F49" s="146">
        <v>400</v>
      </c>
      <c r="G49" s="137">
        <f t="shared" si="1"/>
        <v>80000</v>
      </c>
    </row>
    <row r="50" spans="1:7" ht="12.75" customHeight="1">
      <c r="A50" s="25"/>
      <c r="B50" s="133" t="s">
        <v>82</v>
      </c>
      <c r="C50" s="134" t="s">
        <v>79</v>
      </c>
      <c r="D50" s="149">
        <v>350</v>
      </c>
      <c r="E50" s="136" t="s">
        <v>87</v>
      </c>
      <c r="F50" s="146">
        <v>360</v>
      </c>
      <c r="G50" s="137">
        <f t="shared" si="1"/>
        <v>126000</v>
      </c>
    </row>
    <row r="51" spans="1:7" ht="12.75" customHeight="1">
      <c r="A51" s="25"/>
      <c r="B51" s="133" t="s">
        <v>83</v>
      </c>
      <c r="C51" s="134" t="s">
        <v>79</v>
      </c>
      <c r="D51" s="149">
        <v>150</v>
      </c>
      <c r="E51" s="136" t="s">
        <v>87</v>
      </c>
      <c r="F51" s="146">
        <v>225</v>
      </c>
      <c r="G51" s="137">
        <f t="shared" si="1"/>
        <v>33750</v>
      </c>
    </row>
    <row r="52" spans="1:7" ht="12.75" customHeight="1">
      <c r="A52" s="25"/>
      <c r="B52" s="133" t="s">
        <v>100</v>
      </c>
      <c r="C52" s="134" t="s">
        <v>79</v>
      </c>
      <c r="D52" s="149">
        <v>250</v>
      </c>
      <c r="E52" s="136" t="s">
        <v>87</v>
      </c>
      <c r="F52" s="146">
        <v>925</v>
      </c>
      <c r="G52" s="137">
        <f t="shared" si="1"/>
        <v>231250</v>
      </c>
    </row>
    <row r="53" spans="1:7" ht="12.75" customHeight="1">
      <c r="A53" s="25"/>
      <c r="B53" s="138" t="s">
        <v>84</v>
      </c>
      <c r="C53" s="139" t="s">
        <v>80</v>
      </c>
      <c r="D53" s="151">
        <v>120</v>
      </c>
      <c r="E53" s="141" t="s">
        <v>87</v>
      </c>
      <c r="F53" s="152">
        <v>1150</v>
      </c>
      <c r="G53" s="137">
        <f t="shared" si="1"/>
        <v>138000</v>
      </c>
    </row>
    <row r="54" spans="1:7" ht="13.5" customHeight="1">
      <c r="A54" s="5"/>
      <c r="B54" s="56" t="s">
        <v>31</v>
      </c>
      <c r="C54" s="57"/>
      <c r="D54" s="57"/>
      <c r="E54" s="57"/>
      <c r="F54" s="58"/>
      <c r="G54" s="59">
        <f>SUM(G44:G53)</f>
        <v>27085000</v>
      </c>
    </row>
    <row r="55" spans="1:7" ht="12" customHeight="1">
      <c r="A55" s="2"/>
      <c r="B55" s="47"/>
      <c r="C55" s="48"/>
      <c r="D55" s="48"/>
      <c r="E55" s="60"/>
      <c r="F55" s="49"/>
      <c r="G55" s="49"/>
    </row>
    <row r="56" spans="1:7" ht="12" customHeight="1">
      <c r="A56" s="5"/>
      <c r="B56" s="38" t="s">
        <v>32</v>
      </c>
      <c r="C56" s="39"/>
      <c r="D56" s="40"/>
      <c r="E56" s="40"/>
      <c r="F56" s="41"/>
      <c r="G56" s="41"/>
    </row>
    <row r="57" spans="1:7" ht="24" customHeight="1">
      <c r="A57" s="5"/>
      <c r="B57" s="50" t="s">
        <v>33</v>
      </c>
      <c r="C57" s="51" t="s">
        <v>28</v>
      </c>
      <c r="D57" s="51" t="s">
        <v>29</v>
      </c>
      <c r="E57" s="50" t="s">
        <v>18</v>
      </c>
      <c r="F57" s="51" t="s">
        <v>19</v>
      </c>
      <c r="G57" s="50" t="s">
        <v>20</v>
      </c>
    </row>
    <row r="58" spans="1:7" ht="12.75" customHeight="1">
      <c r="A58" s="25"/>
      <c r="B58" s="121"/>
      <c r="C58" s="122"/>
      <c r="D58" s="123"/>
      <c r="E58" s="122"/>
      <c r="F58" s="124"/>
      <c r="G58" s="124"/>
    </row>
    <row r="59" spans="1:7" ht="13.5" customHeight="1">
      <c r="A59" s="5"/>
      <c r="B59" s="61" t="s">
        <v>34</v>
      </c>
      <c r="C59" s="62"/>
      <c r="D59" s="62"/>
      <c r="E59" s="62"/>
      <c r="F59" s="63"/>
      <c r="G59" s="64">
        <f>SUM(G58)</f>
        <v>0</v>
      </c>
    </row>
    <row r="60" spans="1:7" ht="12" customHeight="1">
      <c r="A60" s="2"/>
      <c r="B60" s="81"/>
      <c r="C60" s="81"/>
      <c r="D60" s="81"/>
      <c r="E60" s="81"/>
      <c r="F60" s="82"/>
      <c r="G60" s="82"/>
    </row>
    <row r="61" spans="1:7" ht="12" customHeight="1">
      <c r="A61" s="78"/>
      <c r="B61" s="83" t="s">
        <v>35</v>
      </c>
      <c r="C61" s="84"/>
      <c r="D61" s="84"/>
      <c r="E61" s="84"/>
      <c r="F61" s="84"/>
      <c r="G61" s="85">
        <f>G27+G40+G54+G59+G33</f>
        <v>60160000</v>
      </c>
    </row>
    <row r="62" spans="1:7" ht="12" customHeight="1">
      <c r="A62" s="78"/>
      <c r="B62" s="86" t="s">
        <v>36</v>
      </c>
      <c r="C62" s="66"/>
      <c r="D62" s="66"/>
      <c r="E62" s="66"/>
      <c r="F62" s="66"/>
      <c r="G62" s="87">
        <f>G61*0.05</f>
        <v>3008000</v>
      </c>
    </row>
    <row r="63" spans="1:7" ht="12" customHeight="1">
      <c r="A63" s="78"/>
      <c r="B63" s="88" t="s">
        <v>37</v>
      </c>
      <c r="C63" s="65"/>
      <c r="D63" s="65"/>
      <c r="E63" s="65"/>
      <c r="F63" s="65"/>
      <c r="G63" s="89">
        <f>G62+G61</f>
        <v>63168000</v>
      </c>
    </row>
    <row r="64" spans="1:7" ht="12" customHeight="1">
      <c r="A64" s="78"/>
      <c r="B64" s="86" t="s">
        <v>38</v>
      </c>
      <c r="C64" s="66"/>
      <c r="D64" s="66"/>
      <c r="E64" s="66"/>
      <c r="F64" s="66"/>
      <c r="G64" s="87">
        <f>G12</f>
        <v>289800000</v>
      </c>
    </row>
    <row r="65" spans="1:7" ht="12" customHeight="1">
      <c r="A65" s="78"/>
      <c r="B65" s="90" t="s">
        <v>39</v>
      </c>
      <c r="C65" s="91"/>
      <c r="D65" s="91"/>
      <c r="E65" s="91"/>
      <c r="F65" s="91"/>
      <c r="G65" s="92">
        <f>G64-G63</f>
        <v>226632000</v>
      </c>
    </row>
    <row r="66" spans="1:7" ht="12" customHeight="1">
      <c r="A66" s="78"/>
      <c r="B66" s="79" t="s">
        <v>40</v>
      </c>
      <c r="C66" s="80"/>
      <c r="D66" s="80"/>
      <c r="E66" s="80"/>
      <c r="F66" s="80"/>
      <c r="G66" s="75"/>
    </row>
    <row r="67" spans="1:7" ht="12.75" customHeight="1" thickBot="1">
      <c r="A67" s="78"/>
      <c r="B67" s="93"/>
      <c r="C67" s="80"/>
      <c r="D67" s="80"/>
      <c r="E67" s="80"/>
      <c r="F67" s="80"/>
      <c r="G67" s="75"/>
    </row>
    <row r="68" spans="1:7" ht="12" customHeight="1">
      <c r="A68" s="78"/>
      <c r="B68" s="105" t="s">
        <v>41</v>
      </c>
      <c r="C68" s="106"/>
      <c r="D68" s="106"/>
      <c r="E68" s="106"/>
      <c r="F68" s="107"/>
      <c r="G68" s="75"/>
    </row>
    <row r="69" spans="1:7" ht="12" customHeight="1">
      <c r="A69" s="78"/>
      <c r="B69" s="108" t="s">
        <v>42</v>
      </c>
      <c r="C69" s="77"/>
      <c r="D69" s="77"/>
      <c r="E69" s="77"/>
      <c r="F69" s="109"/>
      <c r="G69" s="75"/>
    </row>
    <row r="70" spans="1:7" ht="12" customHeight="1">
      <c r="A70" s="78"/>
      <c r="B70" s="108" t="s">
        <v>43</v>
      </c>
      <c r="C70" s="77"/>
      <c r="D70" s="77"/>
      <c r="E70" s="77"/>
      <c r="F70" s="109"/>
      <c r="G70" s="75"/>
    </row>
    <row r="71" spans="1:7" ht="12" customHeight="1">
      <c r="A71" s="78"/>
      <c r="B71" s="108" t="s">
        <v>44</v>
      </c>
      <c r="C71" s="77"/>
      <c r="D71" s="77"/>
      <c r="E71" s="77"/>
      <c r="F71" s="109"/>
      <c r="G71" s="75"/>
    </row>
    <row r="72" spans="1:7" ht="12" customHeight="1">
      <c r="A72" s="78"/>
      <c r="B72" s="108" t="s">
        <v>45</v>
      </c>
      <c r="C72" s="77"/>
      <c r="D72" s="77"/>
      <c r="E72" s="77"/>
      <c r="F72" s="109"/>
      <c r="G72" s="75"/>
    </row>
    <row r="73" spans="1:7" ht="12" customHeight="1">
      <c r="A73" s="78"/>
      <c r="B73" s="108" t="s">
        <v>46</v>
      </c>
      <c r="C73" s="77"/>
      <c r="D73" s="77"/>
      <c r="E73" s="77"/>
      <c r="F73" s="109"/>
      <c r="G73" s="75"/>
    </row>
    <row r="74" spans="1:7" ht="12.75" customHeight="1" thickBot="1">
      <c r="A74" s="78"/>
      <c r="B74" s="110" t="s">
        <v>47</v>
      </c>
      <c r="C74" s="111"/>
      <c r="D74" s="111"/>
      <c r="E74" s="111"/>
      <c r="F74" s="112"/>
      <c r="G74" s="75"/>
    </row>
    <row r="75" spans="1:7" ht="12.75" customHeight="1">
      <c r="A75" s="78"/>
      <c r="B75" s="103"/>
      <c r="C75" s="77"/>
      <c r="D75" s="77"/>
      <c r="E75" s="77"/>
      <c r="F75" s="77"/>
      <c r="G75" s="75"/>
    </row>
    <row r="76" spans="1:7" ht="15" customHeight="1" thickBot="1">
      <c r="A76" s="78"/>
      <c r="B76" s="169" t="s">
        <v>48</v>
      </c>
      <c r="C76" s="170"/>
      <c r="D76" s="102"/>
      <c r="E76" s="68"/>
      <c r="F76" s="68"/>
      <c r="G76" s="75"/>
    </row>
    <row r="77" spans="1:7" ht="12" customHeight="1">
      <c r="A77" s="78"/>
      <c r="B77" s="95" t="s">
        <v>33</v>
      </c>
      <c r="C77" s="69" t="s">
        <v>49</v>
      </c>
      <c r="D77" s="96" t="s">
        <v>50</v>
      </c>
      <c r="E77" s="68"/>
      <c r="F77" s="68"/>
      <c r="G77" s="75"/>
    </row>
    <row r="78" spans="1:7" ht="12" customHeight="1">
      <c r="A78" s="78"/>
      <c r="B78" s="97" t="s">
        <v>51</v>
      </c>
      <c r="C78" s="70">
        <f>G27</f>
        <v>13625000</v>
      </c>
      <c r="D78" s="98">
        <f>(C78/C84)</f>
        <v>0.21531119381167974</v>
      </c>
      <c r="E78" s="68"/>
      <c r="F78" s="68"/>
      <c r="G78" s="75"/>
    </row>
    <row r="79" spans="1:7" ht="12" customHeight="1">
      <c r="A79" s="78"/>
      <c r="B79" s="97" t="s">
        <v>103</v>
      </c>
      <c r="C79" s="71">
        <f>G33</f>
        <v>18050000</v>
      </c>
      <c r="D79" s="98">
        <f>C79/C84</f>
        <v>0.28523794849914269</v>
      </c>
      <c r="E79" s="68"/>
      <c r="F79" s="68"/>
      <c r="G79" s="75"/>
    </row>
    <row r="80" spans="1:7" ht="12" customHeight="1">
      <c r="A80" s="78"/>
      <c r="B80" s="97" t="s">
        <v>52</v>
      </c>
      <c r="C80" s="70">
        <f>G40</f>
        <v>1400000</v>
      </c>
      <c r="D80" s="153">
        <f>(C80/C84)</f>
        <v>2.2123718997163422E-2</v>
      </c>
      <c r="E80" s="68"/>
      <c r="F80" s="68"/>
      <c r="G80" s="75"/>
    </row>
    <row r="81" spans="1:7" ht="12" customHeight="1">
      <c r="A81" s="78"/>
      <c r="B81" s="97" t="s">
        <v>27</v>
      </c>
      <c r="C81" s="70">
        <f>G54</f>
        <v>27085000</v>
      </c>
      <c r="D81" s="98">
        <f>(C81/C84)</f>
        <v>0.42801494931297951</v>
      </c>
      <c r="E81" s="68"/>
      <c r="F81" s="68"/>
      <c r="G81" s="75"/>
    </row>
    <row r="82" spans="1:7" ht="12" customHeight="1">
      <c r="A82" s="78"/>
      <c r="B82" s="97" t="s">
        <v>53</v>
      </c>
      <c r="C82" s="72">
        <v>112500</v>
      </c>
      <c r="D82" s="153">
        <f>(C82/C84)</f>
        <v>1.7777988479863464E-3</v>
      </c>
      <c r="E82" s="74"/>
      <c r="F82" s="74"/>
      <c r="G82" s="75"/>
    </row>
    <row r="83" spans="1:7" ht="12" customHeight="1">
      <c r="A83" s="78"/>
      <c r="B83" s="97" t="s">
        <v>54</v>
      </c>
      <c r="C83" s="72">
        <f>G62</f>
        <v>3008000</v>
      </c>
      <c r="D83" s="98">
        <f>(C83/C84)</f>
        <v>4.7534390531048271E-2</v>
      </c>
      <c r="E83" s="74"/>
      <c r="F83" s="74"/>
      <c r="G83" s="75"/>
    </row>
    <row r="84" spans="1:7" ht="12.75" customHeight="1" thickBot="1">
      <c r="A84" s="78"/>
      <c r="B84" s="99" t="s">
        <v>55</v>
      </c>
      <c r="C84" s="100">
        <f>SUM(C78:C83)</f>
        <v>63280500</v>
      </c>
      <c r="D84" s="101">
        <f>SUM(D78:D83)</f>
        <v>0.99999999999999989</v>
      </c>
      <c r="E84" s="74"/>
      <c r="F84" s="74"/>
      <c r="G84" s="75"/>
    </row>
    <row r="85" spans="1:7" ht="12" customHeight="1">
      <c r="A85" s="78"/>
      <c r="B85" s="93"/>
      <c r="C85" s="80"/>
      <c r="D85" s="80"/>
      <c r="E85" s="80"/>
      <c r="F85" s="80"/>
      <c r="G85" s="75"/>
    </row>
    <row r="86" spans="1:7" ht="12.75" customHeight="1">
      <c r="A86" s="78"/>
      <c r="B86" s="94"/>
      <c r="C86" s="80"/>
      <c r="D86" s="80"/>
      <c r="E86" s="80"/>
      <c r="F86" s="80"/>
      <c r="G86" s="75"/>
    </row>
    <row r="87" spans="1:7" ht="12" customHeight="1" thickBot="1">
      <c r="A87" s="67"/>
      <c r="B87" s="114"/>
      <c r="C87" s="115" t="s">
        <v>56</v>
      </c>
      <c r="D87" s="116"/>
      <c r="E87" s="117"/>
      <c r="F87" s="73"/>
      <c r="G87" s="75"/>
    </row>
    <row r="88" spans="1:7" ht="12" customHeight="1">
      <c r="A88" s="78"/>
      <c r="B88" s="118" t="s">
        <v>57</v>
      </c>
      <c r="C88" s="125">
        <v>600000</v>
      </c>
      <c r="D88" s="125">
        <v>690000</v>
      </c>
      <c r="E88" s="126">
        <v>750000</v>
      </c>
      <c r="F88" s="113"/>
      <c r="G88" s="76"/>
    </row>
    <row r="89" spans="1:7" ht="12.75" customHeight="1" thickBot="1">
      <c r="A89" s="78"/>
      <c r="B89" s="99" t="s">
        <v>58</v>
      </c>
      <c r="C89" s="100">
        <v>105</v>
      </c>
      <c r="D89" s="100">
        <f>(G63/D88)</f>
        <v>91.547826086956519</v>
      </c>
      <c r="E89" s="119">
        <f>(G63/E88)</f>
        <v>84.224000000000004</v>
      </c>
      <c r="F89" s="113"/>
      <c r="G89" s="76"/>
    </row>
    <row r="90" spans="1:7" ht="15.6" customHeight="1">
      <c r="A90" s="78"/>
      <c r="B90" s="104" t="s">
        <v>59</v>
      </c>
      <c r="C90" s="77"/>
      <c r="D90" s="77"/>
      <c r="E90" s="77"/>
      <c r="F90" s="77"/>
      <c r="G90" s="7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tabSelected="1" topLeftCell="A46" zoomScale="110" zoomScaleNormal="110" workbookViewId="0">
      <selection activeCell="G12" sqref="G12"/>
    </sheetView>
  </sheetViews>
  <sheetFormatPr baseColWidth="10" defaultColWidth="10.88671875" defaultRowHeight="11.25" customHeight="1"/>
  <cols>
    <col min="1" max="1" width="4.44140625" style="1" customWidth="1"/>
    <col min="2" max="2" width="33.109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6.109375" style="1" bestFit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101</v>
      </c>
      <c r="D9" s="8"/>
      <c r="E9" s="173" t="s">
        <v>62</v>
      </c>
      <c r="F9" s="174"/>
      <c r="G9" s="9">
        <v>690000</v>
      </c>
    </row>
    <row r="10" spans="1:7" ht="38.25" customHeight="1">
      <c r="A10" s="5"/>
      <c r="B10" s="10" t="s">
        <v>1</v>
      </c>
      <c r="C10" s="11" t="s">
        <v>102</v>
      </c>
      <c r="D10" s="12"/>
      <c r="E10" s="171" t="s">
        <v>2</v>
      </c>
      <c r="F10" s="172"/>
      <c r="G10" s="13" t="s">
        <v>63</v>
      </c>
    </row>
    <row r="11" spans="1:7" ht="18" customHeight="1">
      <c r="A11" s="5"/>
      <c r="B11" s="10" t="s">
        <v>3</v>
      </c>
      <c r="C11" s="13" t="s">
        <v>4</v>
      </c>
      <c r="D11" s="12"/>
      <c r="E11" s="171" t="s">
        <v>64</v>
      </c>
      <c r="F11" s="172"/>
      <c r="G11" s="14">
        <v>420</v>
      </c>
    </row>
    <row r="12" spans="1:7" ht="22.2" customHeight="1">
      <c r="A12" s="5"/>
      <c r="B12" s="10" t="s">
        <v>5</v>
      </c>
      <c r="C12" s="15" t="s">
        <v>60</v>
      </c>
      <c r="D12" s="12"/>
      <c r="E12" s="164" t="s">
        <v>6</v>
      </c>
      <c r="F12" s="165"/>
      <c r="G12" s="18">
        <f>G9*G11</f>
        <v>289800000</v>
      </c>
    </row>
    <row r="13" spans="1:7" ht="11.25" customHeight="1">
      <c r="A13" s="5"/>
      <c r="B13" s="10" t="s">
        <v>7</v>
      </c>
      <c r="C13" s="13" t="s">
        <v>61</v>
      </c>
      <c r="D13" s="12"/>
      <c r="E13" s="171" t="s">
        <v>8</v>
      </c>
      <c r="F13" s="172"/>
      <c r="G13" s="13" t="s">
        <v>65</v>
      </c>
    </row>
    <row r="14" spans="1:7" ht="13.5" customHeight="1">
      <c r="A14" s="5"/>
      <c r="B14" s="10" t="s">
        <v>9</v>
      </c>
      <c r="C14" s="13" t="s">
        <v>85</v>
      </c>
      <c r="D14" s="12"/>
      <c r="E14" s="171" t="s">
        <v>10</v>
      </c>
      <c r="F14" s="172"/>
      <c r="G14" s="13" t="s">
        <v>66</v>
      </c>
    </row>
    <row r="15" spans="1:7" ht="25.5" customHeight="1">
      <c r="A15" s="5"/>
      <c r="B15" s="10" t="s">
        <v>11</v>
      </c>
      <c r="C15" s="19">
        <v>44727</v>
      </c>
      <c r="D15" s="12"/>
      <c r="E15" s="175" t="s">
        <v>12</v>
      </c>
      <c r="F15" s="176"/>
      <c r="G15" s="15" t="s">
        <v>86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9" ht="12" customHeight="1">
      <c r="A17" s="25"/>
      <c r="B17" s="177" t="s">
        <v>13</v>
      </c>
      <c r="C17" s="178"/>
      <c r="D17" s="178"/>
      <c r="E17" s="178"/>
      <c r="F17" s="178"/>
      <c r="G17" s="178"/>
    </row>
    <row r="18" spans="1:9" ht="12" customHeight="1">
      <c r="A18" s="2"/>
      <c r="B18" s="26"/>
      <c r="C18" s="27"/>
      <c r="D18" s="27"/>
      <c r="E18" s="27"/>
      <c r="F18" s="28"/>
      <c r="G18" s="28"/>
    </row>
    <row r="19" spans="1:9" ht="12" customHeight="1">
      <c r="A19" s="5"/>
      <c r="B19" s="29" t="s">
        <v>14</v>
      </c>
      <c r="C19" s="30"/>
      <c r="D19" s="31"/>
      <c r="E19" s="31"/>
      <c r="F19" s="31"/>
      <c r="G19" s="31"/>
    </row>
    <row r="20" spans="1:9" ht="24" customHeight="1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9" ht="12.75" customHeight="1">
      <c r="A21" s="25"/>
      <c r="B21" s="127" t="s">
        <v>68</v>
      </c>
      <c r="C21" s="128" t="s">
        <v>21</v>
      </c>
      <c r="D21" s="129">
        <v>40</v>
      </c>
      <c r="E21" s="130" t="s">
        <v>87</v>
      </c>
      <c r="F21" s="131">
        <v>26000</v>
      </c>
      <c r="G21" s="132">
        <f>+F21*D21</f>
        <v>1040000</v>
      </c>
    </row>
    <row r="22" spans="1:9" ht="25.5" customHeight="1">
      <c r="A22" s="25"/>
      <c r="B22" s="133" t="s">
        <v>69</v>
      </c>
      <c r="C22" s="134" t="s">
        <v>21</v>
      </c>
      <c r="D22" s="135">
        <v>40</v>
      </c>
      <c r="E22" s="136" t="s">
        <v>87</v>
      </c>
      <c r="F22" s="131">
        <v>26000</v>
      </c>
      <c r="G22" s="137">
        <f t="shared" ref="G22:G26" si="0">+F22*D22</f>
        <v>1040000</v>
      </c>
    </row>
    <row r="23" spans="1:9" ht="25.5" customHeight="1">
      <c r="A23" s="25"/>
      <c r="B23" s="133" t="s">
        <v>70</v>
      </c>
      <c r="C23" s="134" t="s">
        <v>21</v>
      </c>
      <c r="D23" s="135">
        <v>35</v>
      </c>
      <c r="E23" s="136" t="s">
        <v>87</v>
      </c>
      <c r="F23" s="131">
        <v>26000</v>
      </c>
      <c r="G23" s="137">
        <f t="shared" si="0"/>
        <v>910000</v>
      </c>
    </row>
    <row r="24" spans="1:9" ht="25.5" customHeight="1">
      <c r="A24" s="25"/>
      <c r="B24" s="133" t="s">
        <v>71</v>
      </c>
      <c r="C24" s="134" t="s">
        <v>21</v>
      </c>
      <c r="D24" s="135">
        <v>40</v>
      </c>
      <c r="E24" s="136" t="s">
        <v>87</v>
      </c>
      <c r="F24" s="131">
        <v>26000</v>
      </c>
      <c r="G24" s="137">
        <f t="shared" si="0"/>
        <v>1040000</v>
      </c>
    </row>
    <row r="25" spans="1:9" ht="25.5" customHeight="1">
      <c r="A25" s="25"/>
      <c r="B25" s="133" t="s">
        <v>72</v>
      </c>
      <c r="C25" s="134" t="s">
        <v>21</v>
      </c>
      <c r="D25" s="135">
        <v>40</v>
      </c>
      <c r="E25" s="136" t="s">
        <v>87</v>
      </c>
      <c r="F25" s="131">
        <v>26000</v>
      </c>
      <c r="G25" s="137">
        <f t="shared" si="0"/>
        <v>1040000</v>
      </c>
    </row>
    <row r="26" spans="1:9" ht="25.5" customHeight="1">
      <c r="A26" s="25"/>
      <c r="B26" s="138" t="s">
        <v>73</v>
      </c>
      <c r="C26" s="139" t="s">
        <v>21</v>
      </c>
      <c r="D26" s="140">
        <v>350</v>
      </c>
      <c r="E26" s="141" t="s">
        <v>87</v>
      </c>
      <c r="F26" s="131">
        <v>26000</v>
      </c>
      <c r="G26" s="142">
        <f t="shared" si="0"/>
        <v>9100000</v>
      </c>
    </row>
    <row r="27" spans="1:9" ht="12.75" customHeight="1">
      <c r="A27" s="25"/>
      <c r="B27" s="33" t="s">
        <v>22</v>
      </c>
      <c r="C27" s="34"/>
      <c r="D27" s="34"/>
      <c r="E27" s="34"/>
      <c r="F27" s="35"/>
      <c r="G27" s="36">
        <f>SUM(G21:G26)</f>
        <v>14170000</v>
      </c>
    </row>
    <row r="28" spans="1:9" ht="12" customHeight="1">
      <c r="A28" s="2"/>
      <c r="B28" s="26"/>
      <c r="C28" s="28"/>
      <c r="D28" s="28"/>
      <c r="E28" s="28"/>
      <c r="F28" s="37"/>
      <c r="G28" s="37"/>
    </row>
    <row r="29" spans="1:9" ht="12" customHeight="1">
      <c r="A29" s="5"/>
      <c r="B29" s="38" t="s">
        <v>88</v>
      </c>
      <c r="C29" s="39"/>
      <c r="D29" s="40"/>
      <c r="E29" s="40"/>
      <c r="F29" s="41"/>
      <c r="G29" s="41"/>
    </row>
    <row r="30" spans="1:9" ht="24" customHeight="1" thickBot="1">
      <c r="A30" s="5"/>
      <c r="B30" s="42" t="s">
        <v>15</v>
      </c>
      <c r="C30" s="43" t="s">
        <v>16</v>
      </c>
      <c r="D30" s="43" t="s">
        <v>17</v>
      </c>
      <c r="E30" s="42" t="s">
        <v>18</v>
      </c>
      <c r="F30" s="43" t="s">
        <v>19</v>
      </c>
      <c r="G30" s="42" t="s">
        <v>20</v>
      </c>
    </row>
    <row r="31" spans="1:9" ht="12" customHeight="1">
      <c r="A31" s="5"/>
      <c r="B31" s="154" t="s">
        <v>90</v>
      </c>
      <c r="C31" s="155" t="s">
        <v>91</v>
      </c>
      <c r="D31" s="156">
        <v>3000</v>
      </c>
      <c r="E31" s="156" t="s">
        <v>92</v>
      </c>
      <c r="F31" s="168">
        <f>LISIANTHUS!F31*'A junio'!I31</f>
        <v>4284.5</v>
      </c>
      <c r="G31" s="158">
        <v>12300000</v>
      </c>
      <c r="I31" s="166">
        <v>1.0449999999999999</v>
      </c>
    </row>
    <row r="32" spans="1:9" ht="12" customHeight="1">
      <c r="A32" s="5"/>
      <c r="B32" s="159" t="s">
        <v>93</v>
      </c>
      <c r="C32" s="160" t="s">
        <v>21</v>
      </c>
      <c r="D32" s="161">
        <v>46</v>
      </c>
      <c r="E32" s="161" t="s">
        <v>67</v>
      </c>
      <c r="F32" s="167">
        <v>150000</v>
      </c>
      <c r="G32" s="163">
        <v>5750000</v>
      </c>
    </row>
    <row r="33" spans="1:11" ht="12" customHeight="1">
      <c r="A33" s="5"/>
      <c r="B33" s="44" t="s">
        <v>89</v>
      </c>
      <c r="C33" s="45"/>
      <c r="D33" s="45"/>
      <c r="E33" s="45"/>
      <c r="F33" s="46"/>
      <c r="G33" s="143">
        <f>SUM(G31:G32)</f>
        <v>18050000</v>
      </c>
    </row>
    <row r="34" spans="1:11" ht="12" customHeight="1">
      <c r="A34" s="2"/>
      <c r="B34" s="47"/>
      <c r="C34" s="48"/>
      <c r="D34" s="48"/>
      <c r="E34" s="48"/>
      <c r="F34" s="49"/>
      <c r="G34" s="49"/>
    </row>
    <row r="35" spans="1:11" ht="12" customHeight="1">
      <c r="A35" s="5"/>
      <c r="B35" s="38" t="s">
        <v>23</v>
      </c>
      <c r="C35" s="39"/>
      <c r="D35" s="40"/>
      <c r="E35" s="40"/>
      <c r="F35" s="41"/>
      <c r="G35" s="41"/>
    </row>
    <row r="36" spans="1:11" ht="24" customHeight="1">
      <c r="A36" s="5"/>
      <c r="B36" s="50" t="s">
        <v>15</v>
      </c>
      <c r="C36" s="50" t="s">
        <v>16</v>
      </c>
      <c r="D36" s="50" t="s">
        <v>17</v>
      </c>
      <c r="E36" s="50" t="s">
        <v>18</v>
      </c>
      <c r="F36" s="51" t="s">
        <v>19</v>
      </c>
      <c r="G36" s="50" t="s">
        <v>20</v>
      </c>
    </row>
    <row r="37" spans="1:11" ht="12.75" customHeight="1">
      <c r="A37" s="25"/>
      <c r="B37" s="127" t="s">
        <v>74</v>
      </c>
      <c r="C37" s="128" t="s">
        <v>24</v>
      </c>
      <c r="D37" s="130">
        <v>3</v>
      </c>
      <c r="E37" s="144" t="s">
        <v>94</v>
      </c>
      <c r="F37" s="131">
        <v>220000</v>
      </c>
      <c r="G37" s="132">
        <f>+F37*D37</f>
        <v>660000</v>
      </c>
    </row>
    <row r="38" spans="1:11" ht="12.75" customHeight="1">
      <c r="A38" s="25"/>
      <c r="B38" s="133" t="s">
        <v>75</v>
      </c>
      <c r="C38" s="134" t="s">
        <v>24</v>
      </c>
      <c r="D38" s="136">
        <v>3</v>
      </c>
      <c r="E38" s="145" t="s">
        <v>94</v>
      </c>
      <c r="F38" s="131">
        <v>220000</v>
      </c>
      <c r="G38" s="137">
        <f>+F38*D38</f>
        <v>660000</v>
      </c>
    </row>
    <row r="39" spans="1:11" ht="12.75" customHeight="1">
      <c r="A39" s="25"/>
      <c r="B39" s="133" t="s">
        <v>76</v>
      </c>
      <c r="C39" s="134" t="s">
        <v>24</v>
      </c>
      <c r="D39" s="136">
        <v>1</v>
      </c>
      <c r="E39" s="145" t="s">
        <v>94</v>
      </c>
      <c r="F39" s="131">
        <v>220000</v>
      </c>
      <c r="G39" s="137">
        <f>+F39*D39</f>
        <v>220000</v>
      </c>
    </row>
    <row r="40" spans="1:11" ht="12.75" customHeight="1">
      <c r="A40" s="5"/>
      <c r="B40" s="52" t="s">
        <v>25</v>
      </c>
      <c r="C40" s="53"/>
      <c r="D40" s="53"/>
      <c r="E40" s="53"/>
      <c r="F40" s="54">
        <v>15000</v>
      </c>
      <c r="G40" s="55">
        <f>SUM(G37:G39)</f>
        <v>1540000</v>
      </c>
    </row>
    <row r="41" spans="1:11" ht="12" customHeight="1">
      <c r="A41" s="2"/>
      <c r="B41" s="47"/>
      <c r="C41" s="48"/>
      <c r="D41" s="48"/>
      <c r="E41" s="48"/>
      <c r="F41" s="49"/>
      <c r="G41" s="49"/>
    </row>
    <row r="42" spans="1:11" ht="12" customHeight="1">
      <c r="A42" s="5"/>
      <c r="B42" s="38" t="s">
        <v>26</v>
      </c>
      <c r="C42" s="39"/>
      <c r="D42" s="40"/>
      <c r="E42" s="40"/>
      <c r="F42" s="41"/>
      <c r="G42" s="41"/>
    </row>
    <row r="43" spans="1:11" ht="24" customHeight="1">
      <c r="A43" s="5"/>
      <c r="B43" s="51" t="s">
        <v>27</v>
      </c>
      <c r="C43" s="51" t="s">
        <v>28</v>
      </c>
      <c r="D43" s="51" t="s">
        <v>29</v>
      </c>
      <c r="E43" s="51" t="s">
        <v>18</v>
      </c>
      <c r="F43" s="51" t="s">
        <v>19</v>
      </c>
      <c r="G43" s="51" t="s">
        <v>20</v>
      </c>
      <c r="K43" s="120"/>
    </row>
    <row r="44" spans="1:11" ht="12.75" customHeight="1">
      <c r="A44" s="25"/>
      <c r="B44" s="147" t="s">
        <v>95</v>
      </c>
      <c r="C44" s="128" t="s">
        <v>77</v>
      </c>
      <c r="D44" s="148">
        <v>230000</v>
      </c>
      <c r="E44" s="130" t="s">
        <v>78</v>
      </c>
      <c r="F44" s="131">
        <f>LISIANTHUS!F44*'A junio'!$I$44</f>
        <v>114.94999999999999</v>
      </c>
      <c r="G44" s="132">
        <f>+F44*D44</f>
        <v>26438499.999999996</v>
      </c>
      <c r="I44" s="1">
        <v>1.0449999999999999</v>
      </c>
      <c r="K44" s="120"/>
    </row>
    <row r="45" spans="1:11" ht="12.75" customHeight="1">
      <c r="A45" s="25"/>
      <c r="B45" s="133" t="s">
        <v>96</v>
      </c>
      <c r="C45" s="134" t="s">
        <v>79</v>
      </c>
      <c r="D45" s="149">
        <v>20</v>
      </c>
      <c r="E45" s="136" t="s">
        <v>87</v>
      </c>
      <c r="F45" s="131">
        <f>LISIANTHUS!F45*'A junio'!$I$44</f>
        <v>15674.999999999998</v>
      </c>
      <c r="G45" s="137">
        <f>+D45*F45</f>
        <v>313499.99999999994</v>
      </c>
    </row>
    <row r="46" spans="1:11" ht="12.75" customHeight="1">
      <c r="A46" s="25"/>
      <c r="B46" s="133" t="s">
        <v>97</v>
      </c>
      <c r="C46" s="134" t="s">
        <v>79</v>
      </c>
      <c r="D46" s="149">
        <v>22</v>
      </c>
      <c r="E46" s="136" t="s">
        <v>98</v>
      </c>
      <c r="F46" s="131">
        <f>LISIANTHUS!F46*'A junio'!$I$44</f>
        <v>31349.999999999996</v>
      </c>
      <c r="G46" s="137">
        <f t="shared" ref="G46:G53" si="1">+D46*F46</f>
        <v>689699.99999999988</v>
      </c>
    </row>
    <row r="47" spans="1:11" ht="12.75" customHeight="1">
      <c r="A47" s="25"/>
      <c r="B47" s="133" t="s">
        <v>99</v>
      </c>
      <c r="C47" s="134" t="s">
        <v>79</v>
      </c>
      <c r="D47" s="149">
        <v>6</v>
      </c>
      <c r="E47" s="136" t="s">
        <v>98</v>
      </c>
      <c r="F47" s="131">
        <f>LISIANTHUS!F47*'A junio'!$I$44</f>
        <v>37620</v>
      </c>
      <c r="G47" s="137">
        <f t="shared" si="1"/>
        <v>225720</v>
      </c>
    </row>
    <row r="48" spans="1:11" ht="12.75" customHeight="1">
      <c r="A48" s="25"/>
      <c r="B48" s="150" t="s">
        <v>30</v>
      </c>
      <c r="C48" s="134"/>
      <c r="D48" s="149"/>
      <c r="E48" s="136"/>
      <c r="F48" s="131">
        <f>LISIANTHUS!F48*'A junio'!$I$44</f>
        <v>0</v>
      </c>
      <c r="G48" s="137">
        <f t="shared" si="1"/>
        <v>0</v>
      </c>
    </row>
    <row r="49" spans="1:7" ht="12.75" customHeight="1">
      <c r="A49" s="25"/>
      <c r="B49" s="133" t="s">
        <v>81</v>
      </c>
      <c r="C49" s="134" t="s">
        <v>79</v>
      </c>
      <c r="D49" s="149">
        <v>200</v>
      </c>
      <c r="E49" s="136" t="s">
        <v>87</v>
      </c>
      <c r="F49" s="131">
        <f>LISIANTHUS!F49*'A junio'!$I$44</f>
        <v>418</v>
      </c>
      <c r="G49" s="137">
        <f t="shared" si="1"/>
        <v>83600</v>
      </c>
    </row>
    <row r="50" spans="1:7" ht="12.75" customHeight="1">
      <c r="A50" s="25"/>
      <c r="B50" s="133" t="s">
        <v>82</v>
      </c>
      <c r="C50" s="134" t="s">
        <v>79</v>
      </c>
      <c r="D50" s="149">
        <v>350</v>
      </c>
      <c r="E50" s="136" t="s">
        <v>87</v>
      </c>
      <c r="F50" s="131">
        <f>LISIANTHUS!F50*'A junio'!$I$44</f>
        <v>376.2</v>
      </c>
      <c r="G50" s="137">
        <f t="shared" si="1"/>
        <v>131670</v>
      </c>
    </row>
    <row r="51" spans="1:7" ht="12.75" customHeight="1">
      <c r="A51" s="25"/>
      <c r="B51" s="133" t="s">
        <v>83</v>
      </c>
      <c r="C51" s="134" t="s">
        <v>79</v>
      </c>
      <c r="D51" s="149">
        <v>150</v>
      </c>
      <c r="E51" s="136" t="s">
        <v>87</v>
      </c>
      <c r="F51" s="131">
        <f>LISIANTHUS!F51*'A junio'!$I$44</f>
        <v>235.12499999999997</v>
      </c>
      <c r="G51" s="137">
        <f t="shared" si="1"/>
        <v>35268.749999999993</v>
      </c>
    </row>
    <row r="52" spans="1:7" ht="12.75" customHeight="1">
      <c r="A52" s="25"/>
      <c r="B52" s="133" t="s">
        <v>100</v>
      </c>
      <c r="C52" s="134" t="s">
        <v>79</v>
      </c>
      <c r="D52" s="149">
        <v>250</v>
      </c>
      <c r="E52" s="136" t="s">
        <v>87</v>
      </c>
      <c r="F52" s="131">
        <f>LISIANTHUS!F52*'A junio'!$I$44</f>
        <v>966.62499999999989</v>
      </c>
      <c r="G52" s="137">
        <f t="shared" si="1"/>
        <v>241656.24999999997</v>
      </c>
    </row>
    <row r="53" spans="1:7" ht="12.75" customHeight="1">
      <c r="A53" s="25"/>
      <c r="B53" s="138" t="s">
        <v>84</v>
      </c>
      <c r="C53" s="139" t="s">
        <v>80</v>
      </c>
      <c r="D53" s="151">
        <v>120</v>
      </c>
      <c r="E53" s="141" t="s">
        <v>87</v>
      </c>
      <c r="F53" s="131">
        <f>LISIANTHUS!F53*'A junio'!$I$44</f>
        <v>1201.75</v>
      </c>
      <c r="G53" s="137">
        <f t="shared" si="1"/>
        <v>144210</v>
      </c>
    </row>
    <row r="54" spans="1:7" ht="13.5" customHeight="1">
      <c r="A54" s="5"/>
      <c r="B54" s="56" t="s">
        <v>31</v>
      </c>
      <c r="C54" s="57"/>
      <c r="D54" s="57"/>
      <c r="E54" s="57"/>
      <c r="F54" s="58"/>
      <c r="G54" s="59">
        <f>SUM(G44:G53)</f>
        <v>28303824.999999996</v>
      </c>
    </row>
    <row r="55" spans="1:7" ht="12" customHeight="1">
      <c r="A55" s="2"/>
      <c r="B55" s="47"/>
      <c r="C55" s="48"/>
      <c r="D55" s="48"/>
      <c r="E55" s="60"/>
      <c r="F55" s="49"/>
      <c r="G55" s="49"/>
    </row>
    <row r="56" spans="1:7" ht="12" customHeight="1">
      <c r="A56" s="5"/>
      <c r="B56" s="38" t="s">
        <v>32</v>
      </c>
      <c r="C56" s="39"/>
      <c r="D56" s="40"/>
      <c r="E56" s="40"/>
      <c r="F56" s="41"/>
      <c r="G56" s="41"/>
    </row>
    <row r="57" spans="1:7" ht="24" customHeight="1">
      <c r="A57" s="5"/>
      <c r="B57" s="50" t="s">
        <v>33</v>
      </c>
      <c r="C57" s="51" t="s">
        <v>28</v>
      </c>
      <c r="D57" s="51" t="s">
        <v>29</v>
      </c>
      <c r="E57" s="50" t="s">
        <v>18</v>
      </c>
      <c r="F57" s="51" t="s">
        <v>19</v>
      </c>
      <c r="G57" s="50" t="s">
        <v>20</v>
      </c>
    </row>
    <row r="58" spans="1:7" ht="12.75" customHeight="1">
      <c r="A58" s="25"/>
      <c r="B58" s="121"/>
      <c r="C58" s="122"/>
      <c r="D58" s="123"/>
      <c r="E58" s="122"/>
      <c r="F58" s="124"/>
      <c r="G58" s="124"/>
    </row>
    <row r="59" spans="1:7" ht="13.5" customHeight="1">
      <c r="A59" s="5"/>
      <c r="B59" s="61" t="s">
        <v>34</v>
      </c>
      <c r="C59" s="62"/>
      <c r="D59" s="62"/>
      <c r="E59" s="62"/>
      <c r="F59" s="63"/>
      <c r="G59" s="64">
        <f>SUM(G58)</f>
        <v>0</v>
      </c>
    </row>
    <row r="60" spans="1:7" ht="12" customHeight="1">
      <c r="A60" s="2"/>
      <c r="B60" s="81"/>
      <c r="C60" s="81"/>
      <c r="D60" s="81"/>
      <c r="E60" s="81"/>
      <c r="F60" s="82"/>
      <c r="G60" s="82"/>
    </row>
    <row r="61" spans="1:7" ht="12" customHeight="1">
      <c r="A61" s="78"/>
      <c r="B61" s="83" t="s">
        <v>35</v>
      </c>
      <c r="C61" s="84"/>
      <c r="D61" s="84"/>
      <c r="E61" s="84"/>
      <c r="F61" s="84"/>
      <c r="G61" s="85">
        <f>G27+G40+G54+G59+G33</f>
        <v>62063825</v>
      </c>
    </row>
    <row r="62" spans="1:7" ht="12" customHeight="1">
      <c r="A62" s="78"/>
      <c r="B62" s="86" t="s">
        <v>36</v>
      </c>
      <c r="C62" s="66"/>
      <c r="D62" s="66"/>
      <c r="E62" s="66"/>
      <c r="F62" s="66"/>
      <c r="G62" s="87">
        <f>G61*0.05</f>
        <v>3103191.25</v>
      </c>
    </row>
    <row r="63" spans="1:7" ht="12" customHeight="1">
      <c r="A63" s="78"/>
      <c r="B63" s="88" t="s">
        <v>37</v>
      </c>
      <c r="C63" s="65"/>
      <c r="D63" s="65"/>
      <c r="E63" s="65"/>
      <c r="F63" s="65"/>
      <c r="G63" s="89">
        <f>G62+G61</f>
        <v>65167016.25</v>
      </c>
    </row>
    <row r="64" spans="1:7" ht="12" customHeight="1">
      <c r="A64" s="78"/>
      <c r="B64" s="86" t="s">
        <v>38</v>
      </c>
      <c r="C64" s="66"/>
      <c r="D64" s="66"/>
      <c r="E64" s="66"/>
      <c r="F64" s="66"/>
      <c r="G64" s="87">
        <f>G12</f>
        <v>289800000</v>
      </c>
    </row>
    <row r="65" spans="1:7" ht="12" customHeight="1">
      <c r="A65" s="78"/>
      <c r="B65" s="90" t="s">
        <v>39</v>
      </c>
      <c r="C65" s="91"/>
      <c r="D65" s="91"/>
      <c r="E65" s="91"/>
      <c r="F65" s="91"/>
      <c r="G65" s="92">
        <f>G64-G63</f>
        <v>224632983.75</v>
      </c>
    </row>
    <row r="66" spans="1:7" ht="12" customHeight="1">
      <c r="A66" s="78"/>
      <c r="B66" s="79" t="s">
        <v>40</v>
      </c>
      <c r="C66" s="80"/>
      <c r="D66" s="80"/>
      <c r="E66" s="80"/>
      <c r="F66" s="80"/>
      <c r="G66" s="75"/>
    </row>
    <row r="67" spans="1:7" ht="12.75" customHeight="1" thickBot="1">
      <c r="A67" s="78"/>
      <c r="B67" s="93"/>
      <c r="C67" s="80"/>
      <c r="D67" s="80"/>
      <c r="E67" s="80"/>
      <c r="F67" s="80"/>
      <c r="G67" s="75"/>
    </row>
    <row r="68" spans="1:7" ht="12" customHeight="1">
      <c r="A68" s="78"/>
      <c r="B68" s="105" t="s">
        <v>41</v>
      </c>
      <c r="C68" s="106"/>
      <c r="D68" s="106"/>
      <c r="E68" s="106"/>
      <c r="F68" s="107"/>
      <c r="G68" s="75"/>
    </row>
    <row r="69" spans="1:7" ht="12" customHeight="1">
      <c r="A69" s="78"/>
      <c r="B69" s="108" t="s">
        <v>42</v>
      </c>
      <c r="C69" s="77"/>
      <c r="D69" s="77"/>
      <c r="E69" s="77"/>
      <c r="F69" s="109"/>
      <c r="G69" s="75"/>
    </row>
    <row r="70" spans="1:7" ht="12" customHeight="1">
      <c r="A70" s="78"/>
      <c r="B70" s="108" t="s">
        <v>43</v>
      </c>
      <c r="C70" s="77"/>
      <c r="D70" s="77"/>
      <c r="E70" s="77"/>
      <c r="F70" s="109"/>
      <c r="G70" s="75"/>
    </row>
    <row r="71" spans="1:7" ht="12" customHeight="1">
      <c r="A71" s="78"/>
      <c r="B71" s="108" t="s">
        <v>44</v>
      </c>
      <c r="C71" s="77"/>
      <c r="D71" s="77"/>
      <c r="E71" s="77"/>
      <c r="F71" s="109"/>
      <c r="G71" s="75"/>
    </row>
    <row r="72" spans="1:7" ht="12" customHeight="1">
      <c r="A72" s="78"/>
      <c r="B72" s="108" t="s">
        <v>45</v>
      </c>
      <c r="C72" s="77"/>
      <c r="D72" s="77"/>
      <c r="E72" s="77"/>
      <c r="F72" s="109"/>
      <c r="G72" s="75"/>
    </row>
    <row r="73" spans="1:7" ht="12" customHeight="1">
      <c r="A73" s="78"/>
      <c r="B73" s="108" t="s">
        <v>46</v>
      </c>
      <c r="C73" s="77"/>
      <c r="D73" s="77"/>
      <c r="E73" s="77"/>
      <c r="F73" s="109"/>
      <c r="G73" s="75"/>
    </row>
    <row r="74" spans="1:7" ht="12.75" customHeight="1" thickBot="1">
      <c r="A74" s="78"/>
      <c r="B74" s="110" t="s">
        <v>47</v>
      </c>
      <c r="C74" s="111"/>
      <c r="D74" s="111"/>
      <c r="E74" s="111"/>
      <c r="F74" s="112"/>
      <c r="G74" s="75"/>
    </row>
    <row r="75" spans="1:7" ht="12.75" customHeight="1">
      <c r="A75" s="78"/>
      <c r="B75" s="103"/>
      <c r="C75" s="77"/>
      <c r="D75" s="77"/>
      <c r="E75" s="77"/>
      <c r="F75" s="77"/>
      <c r="G75" s="75"/>
    </row>
    <row r="76" spans="1:7" ht="15" customHeight="1" thickBot="1">
      <c r="A76" s="78"/>
      <c r="B76" s="169" t="s">
        <v>48</v>
      </c>
      <c r="C76" s="170"/>
      <c r="D76" s="102"/>
      <c r="E76" s="68"/>
      <c r="F76" s="68"/>
      <c r="G76" s="75"/>
    </row>
    <row r="77" spans="1:7" ht="12" customHeight="1">
      <c r="A77" s="78"/>
      <c r="B77" s="95" t="s">
        <v>33</v>
      </c>
      <c r="C77" s="69" t="s">
        <v>49</v>
      </c>
      <c r="D77" s="96" t="s">
        <v>50</v>
      </c>
      <c r="E77" s="68"/>
      <c r="F77" s="68"/>
      <c r="G77" s="75"/>
    </row>
    <row r="78" spans="1:7" ht="12" customHeight="1">
      <c r="A78" s="78"/>
      <c r="B78" s="97" t="s">
        <v>51</v>
      </c>
      <c r="C78" s="70">
        <f>G27</f>
        <v>14170000</v>
      </c>
      <c r="D78" s="98">
        <f>(C78/C84)</f>
        <v>0.21706655952739234</v>
      </c>
      <c r="E78" s="68"/>
      <c r="F78" s="68"/>
      <c r="G78" s="75"/>
    </row>
    <row r="79" spans="1:7" ht="12" customHeight="1">
      <c r="A79" s="78"/>
      <c r="B79" s="97" t="s">
        <v>103</v>
      </c>
      <c r="C79" s="71">
        <f>G33</f>
        <v>18050000</v>
      </c>
      <c r="D79" s="98">
        <f>C79/C84</f>
        <v>0.27650327448619844</v>
      </c>
      <c r="E79" s="68"/>
      <c r="F79" s="68"/>
      <c r="G79" s="75"/>
    </row>
    <row r="80" spans="1:7" ht="12" customHeight="1">
      <c r="A80" s="78"/>
      <c r="B80" s="97" t="s">
        <v>52</v>
      </c>
      <c r="C80" s="70">
        <f>G40</f>
        <v>1540000</v>
      </c>
      <c r="D80" s="153">
        <f>(C80/C84)</f>
        <v>2.3590861091897262E-2</v>
      </c>
      <c r="E80" s="68"/>
      <c r="F80" s="68"/>
      <c r="G80" s="75"/>
    </row>
    <row r="81" spans="1:7" ht="12" customHeight="1">
      <c r="A81" s="78"/>
      <c r="B81" s="97" t="s">
        <v>27</v>
      </c>
      <c r="C81" s="70">
        <f>G54</f>
        <v>28303824.999999996</v>
      </c>
      <c r="D81" s="98">
        <f>(C81/C84)</f>
        <v>0.43357896360023956</v>
      </c>
      <c r="E81" s="68"/>
      <c r="F81" s="68"/>
      <c r="G81" s="75"/>
    </row>
    <row r="82" spans="1:7" ht="12" customHeight="1">
      <c r="A82" s="78"/>
      <c r="B82" s="97" t="s">
        <v>53</v>
      </c>
      <c r="C82" s="72">
        <v>112500</v>
      </c>
      <c r="D82" s="153">
        <f>(C82/C84)</f>
        <v>1.7233583589860012E-3</v>
      </c>
      <c r="E82" s="74"/>
      <c r="F82" s="74"/>
      <c r="G82" s="75"/>
    </row>
    <row r="83" spans="1:7" ht="12" customHeight="1">
      <c r="A83" s="78"/>
      <c r="B83" s="97" t="s">
        <v>54</v>
      </c>
      <c r="C83" s="72">
        <f>G62</f>
        <v>3103191.25</v>
      </c>
      <c r="D83" s="98">
        <f>(C83/C84)</f>
        <v>4.7536982935286382E-2</v>
      </c>
      <c r="E83" s="74"/>
      <c r="F83" s="74"/>
      <c r="G83" s="75"/>
    </row>
    <row r="84" spans="1:7" ht="12.75" customHeight="1" thickBot="1">
      <c r="A84" s="78"/>
      <c r="B84" s="99" t="s">
        <v>55</v>
      </c>
      <c r="C84" s="100">
        <f>SUM(C78:C83)</f>
        <v>65279516.25</v>
      </c>
      <c r="D84" s="101">
        <f>SUM(D78:D83)</f>
        <v>0.99999999999999989</v>
      </c>
      <c r="E84" s="74"/>
      <c r="F84" s="74"/>
      <c r="G84" s="75"/>
    </row>
    <row r="85" spans="1:7" ht="12" customHeight="1">
      <c r="A85" s="78"/>
      <c r="B85" s="93"/>
      <c r="C85" s="80"/>
      <c r="D85" s="80"/>
      <c r="E85" s="80"/>
      <c r="F85" s="80"/>
      <c r="G85" s="75"/>
    </row>
    <row r="86" spans="1:7" ht="12.75" customHeight="1">
      <c r="A86" s="78"/>
      <c r="B86" s="94"/>
      <c r="C86" s="80"/>
      <c r="D86" s="80"/>
      <c r="E86" s="80"/>
      <c r="F86" s="80"/>
      <c r="G86" s="75"/>
    </row>
    <row r="87" spans="1:7" ht="12" customHeight="1" thickBot="1">
      <c r="A87" s="67"/>
      <c r="B87" s="114"/>
      <c r="C87" s="115" t="s">
        <v>56</v>
      </c>
      <c r="D87" s="116"/>
      <c r="E87" s="117"/>
      <c r="F87" s="73"/>
      <c r="G87" s="75"/>
    </row>
    <row r="88" spans="1:7" ht="12" customHeight="1">
      <c r="A88" s="78"/>
      <c r="B88" s="118" t="s">
        <v>57</v>
      </c>
      <c r="C88" s="125">
        <v>600000</v>
      </c>
      <c r="D88" s="125">
        <v>690000</v>
      </c>
      <c r="E88" s="126">
        <v>750000</v>
      </c>
      <c r="F88" s="113"/>
      <c r="G88" s="76"/>
    </row>
    <row r="89" spans="1:7" ht="12.75" customHeight="1" thickBot="1">
      <c r="A89" s="78"/>
      <c r="B89" s="99" t="s">
        <v>58</v>
      </c>
      <c r="C89" s="100">
        <v>105</v>
      </c>
      <c r="D89" s="100">
        <f>(G63/D88)</f>
        <v>94.444951086956522</v>
      </c>
      <c r="E89" s="119">
        <f>(G63/E88)</f>
        <v>86.889354999999995</v>
      </c>
      <c r="F89" s="113"/>
      <c r="G89" s="76"/>
    </row>
    <row r="90" spans="1:7" ht="15.6" customHeight="1">
      <c r="A90" s="78"/>
      <c r="B90" s="104" t="s">
        <v>59</v>
      </c>
      <c r="C90" s="77"/>
      <c r="D90" s="77"/>
      <c r="E90" s="77"/>
      <c r="F90" s="77"/>
      <c r="G90" s="77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94E27-E7E7-4FD1-96AC-A39018C38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2ACDA-7750-4B34-A2B1-84DE1402CE65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1030f0af-99cb-42f1-88fc-acec73331192"/>
    <ds:schemaRef ds:uri="http://schemas.openxmlformats.org/package/2006/metadata/core-properties"/>
    <ds:schemaRef ds:uri="http://purl.org/dc/terms/"/>
    <ds:schemaRef ds:uri="http://purl.org/dc/elements/1.1/"/>
    <ds:schemaRef ds:uri="c5dbce2d-49dc-4afe-a5b0-d7fb7a90116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E07575-F7A5-44C6-8FDA-AF5E3CF18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LISIANTHUS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2022-07-01T20:03:27Z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