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4" documentId="11_630BF35845CD9B1B52E5F858185B90F8F9D9CEEA" xr6:coauthVersionLast="47" xr6:coauthVersionMax="47" xr10:uidLastSave="{AEA4AA5A-4661-4E6D-9A4A-EBFEE4A6AEB9}"/>
  <bookViews>
    <workbookView xWindow="-120" yWindow="-120" windowWidth="20730" windowHeight="11040" xr2:uid="{00000000-000D-0000-FFFF-FFFF00000000}"/>
  </bookViews>
  <sheets>
    <sheet name="LISIANTHU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" l="1"/>
  <c r="F47" i="2"/>
  <c r="G47" i="2" s="1"/>
  <c r="F48" i="2"/>
  <c r="F49" i="2"/>
  <c r="G49" i="2" s="1"/>
  <c r="F50" i="2"/>
  <c r="G50" i="2" s="1"/>
  <c r="F51" i="2"/>
  <c r="G51" i="2" s="1"/>
  <c r="F53" i="2"/>
  <c r="F54" i="2"/>
  <c r="F55" i="2"/>
  <c r="F56" i="2"/>
  <c r="G56" i="2" s="1"/>
  <c r="F57" i="2"/>
  <c r="F58" i="2"/>
  <c r="G58" i="2" s="1"/>
  <c r="F59" i="2"/>
  <c r="F60" i="2"/>
  <c r="G60" i="2" s="1"/>
  <c r="F61" i="2"/>
  <c r="G61" i="2" s="1"/>
  <c r="F62" i="2"/>
  <c r="G62" i="2" s="1"/>
  <c r="F63" i="2"/>
  <c r="F66" i="2"/>
  <c r="F67" i="2"/>
  <c r="G67" i="2" s="1"/>
  <c r="F68" i="2"/>
  <c r="G68" i="2" s="1"/>
  <c r="F69" i="2"/>
  <c r="G69" i="2" s="1"/>
  <c r="F70" i="2"/>
  <c r="G70" i="2" s="1"/>
  <c r="F71" i="2"/>
  <c r="F72" i="2"/>
  <c r="G72" i="2" s="1"/>
  <c r="F73" i="2"/>
  <c r="F74" i="2"/>
  <c r="F75" i="2"/>
  <c r="G75" i="2" s="1"/>
  <c r="E114" i="2"/>
  <c r="D114" i="2"/>
  <c r="C114" i="2"/>
  <c r="C105" i="2"/>
  <c r="G85" i="2"/>
  <c r="C108" i="2" s="1"/>
  <c r="D74" i="2"/>
  <c r="G73" i="2"/>
  <c r="G71" i="2"/>
  <c r="D65" i="2"/>
  <c r="G63" i="2"/>
  <c r="G59" i="2"/>
  <c r="G55" i="2"/>
  <c r="G48" i="2"/>
  <c r="D45" i="2"/>
  <c r="G39" i="2"/>
  <c r="G41" i="2" s="1"/>
  <c r="C106" i="2" s="1"/>
  <c r="D28" i="2"/>
  <c r="G28" i="2" s="1"/>
  <c r="G27" i="2"/>
  <c r="D26" i="2"/>
  <c r="G26" i="2" s="1"/>
  <c r="G30" i="2" s="1"/>
  <c r="G25" i="2"/>
  <c r="G24" i="2"/>
  <c r="G22" i="2"/>
  <c r="D21" i="2"/>
  <c r="G21" i="2" s="1"/>
  <c r="G9" i="2"/>
  <c r="G12" i="2" s="1"/>
  <c r="G90" i="2" s="1"/>
  <c r="G74" i="2" l="1"/>
  <c r="C104" i="2"/>
  <c r="E112" i="1"/>
  <c r="D112" i="1"/>
  <c r="G9" i="1" s="1"/>
  <c r="G12" i="1" s="1"/>
  <c r="C112" i="1"/>
  <c r="F65" i="1"/>
  <c r="F65" i="2" s="1"/>
  <c r="G65" i="2" s="1"/>
  <c r="F45" i="1"/>
  <c r="F45" i="2" s="1"/>
  <c r="G45" i="2" s="1"/>
  <c r="F64" i="1"/>
  <c r="F64" i="2" s="1"/>
  <c r="G64" i="2" s="1"/>
  <c r="F52" i="1"/>
  <c r="F52" i="2" s="1"/>
  <c r="G52" i="2" s="1"/>
  <c r="D65" i="1" l="1"/>
  <c r="G67" i="1"/>
  <c r="G65" i="1" l="1"/>
  <c r="F76" i="1"/>
  <c r="F76" i="2" s="1"/>
  <c r="G76" i="2" s="1"/>
  <c r="G77" i="2" s="1"/>
  <c r="D74" i="1"/>
  <c r="G64" i="1"/>
  <c r="G61" i="1"/>
  <c r="G39" i="1"/>
  <c r="D45" i="1"/>
  <c r="D26" i="1"/>
  <c r="D21" i="1"/>
  <c r="C107" i="2" l="1"/>
  <c r="G87" i="2"/>
  <c r="G88" i="2" s="1"/>
  <c r="G69" i="1"/>
  <c r="G52" i="1"/>
  <c r="G63" i="1"/>
  <c r="G68" i="1"/>
  <c r="G70" i="1"/>
  <c r="G62" i="1"/>
  <c r="G75" i="1"/>
  <c r="G71" i="1"/>
  <c r="D28" i="1"/>
  <c r="G28" i="1" s="1"/>
  <c r="G76" i="1"/>
  <c r="C109" i="2" l="1"/>
  <c r="C110" i="2" s="1"/>
  <c r="G89" i="2"/>
  <c r="G91" i="2" s="1"/>
  <c r="C115" i="2"/>
  <c r="E115" i="2"/>
  <c r="D115" i="2"/>
  <c r="D106" i="2"/>
  <c r="D108" i="2"/>
  <c r="D104" i="2"/>
  <c r="D107" i="2"/>
  <c r="D109" i="2"/>
  <c r="G74" i="1"/>
  <c r="D110" i="2" l="1"/>
  <c r="C103" i="1"/>
  <c r="G60" i="1"/>
  <c r="G59" i="1"/>
  <c r="G58" i="1"/>
  <c r="G73" i="1"/>
  <c r="G72" i="1"/>
  <c r="G25" i="1"/>
  <c r="G22" i="1"/>
  <c r="G56" i="1"/>
  <c r="G55" i="1"/>
  <c r="G51" i="1"/>
  <c r="G48" i="1"/>
  <c r="G47" i="1"/>
  <c r="G45" i="1"/>
  <c r="G26" i="1"/>
  <c r="G21" i="1"/>
  <c r="G27" i="1" l="1"/>
  <c r="G24" i="1"/>
  <c r="C106" i="1"/>
  <c r="G50" i="1"/>
  <c r="G49" i="1"/>
  <c r="G88" i="1"/>
  <c r="G77" i="1" l="1"/>
  <c r="C105" i="1" s="1"/>
  <c r="G30" i="1"/>
  <c r="G41" i="1"/>
  <c r="C104" i="1" s="1"/>
  <c r="C102" i="1" l="1"/>
  <c r="G85" i="1"/>
  <c r="G86" i="1" s="1"/>
  <c r="G87" i="1" l="1"/>
  <c r="G89" i="1" s="1"/>
  <c r="C107" i="1"/>
  <c r="C108" i="1" l="1"/>
  <c r="D107" i="1" s="1"/>
  <c r="D105" i="1" l="1"/>
  <c r="D113" i="1"/>
  <c r="D102" i="1"/>
  <c r="D106" i="1"/>
  <c r="C113" i="1"/>
  <c r="E113" i="1"/>
  <c r="D104" i="1"/>
  <c r="D108" i="1" l="1"/>
  <c r="G90" i="1"/>
  <c r="G92" i="2"/>
</calcChain>
</file>

<file path=xl/sharedStrings.xml><?xml version="1.0" encoding="utf-8"?>
<sst xmlns="http://schemas.openxmlformats.org/spreadsheetml/2006/main" count="408" uniqueCount="140">
  <si>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</si>
  <si>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</si>
  <si>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</si>
  <si>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</si>
  <si>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</si>
  <si>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</si>
  <si>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</si>
  <si>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</si>
  <si>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</si>
  <si>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</si>
  <si>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</si>
  <si>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</si>
  <si>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</si>
  <si>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</si>
  <si>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</si>
  <si>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</si>
  <si>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</si>
  <si>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</si>
  <si>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</si>
  <si>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</si>
  <si>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</si>
  <si>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</si>
  <si>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</si>
  <si>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</si>
  <si>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</si>
  <si>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</si>
  <si>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</si>
  <si>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</si>
  <si>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</si>
  <si>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</si>
  <si>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</si>
  <si>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</si>
  <si>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</si>
  <si>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</si>
  <si>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</si>
  <si>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</si>
  <si>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</si>
  <si>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</si>
  <si>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</si>
  <si>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</si>
  <si>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</si>
  <si>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</si>
  <si>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</si>
  <si>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</si>
  <si>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</si>
  <si>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</si>
  <si>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</si>
  <si>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</si>
  <si>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</si>
  <si>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</si>
  <si>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</si>
  <si>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</si>
  <si>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</si>
  <si>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</si>
  <si>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</si>
  <si>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</si>
  <si>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</si>
  <si>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</si>
  <si>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</si>
  <si>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</si>
  <si>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</si>
  <si>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VALPARAISO</t>
  </si>
  <si>
    <t>TODO EL AÑO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</si>
  <si>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</si>
  <si>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</si>
  <si>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</si>
  <si>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</si>
  <si>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</si>
  <si>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</si>
  <si>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</si>
  <si>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</si>
  <si>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</si>
  <si>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</si>
  <si>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</si>
  <si>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</si>
  <si>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</si>
  <si>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</si>
  <si>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</si>
  <si>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</si>
  <si>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</si>
  <si>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</si>
  <si>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</si>
  <si>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</si>
  <si>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</si>
  <si>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</si>
  <si>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</si>
  <si>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</si>
  <si>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</si>
  <si>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</si>
  <si>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</si>
  <si>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</si>
  <si>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</si>
  <si>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mes</t>
  </si>
  <si>
    <t>set</t>
  </si>
  <si>
    <t>Repocision cintas de riego</t>
  </si>
  <si>
    <t>m</t>
  </si>
  <si>
    <t>COSTOS DIRECTOS DE PRODUCCIÓN 1050 M2 (5 INV)  (INCLUYE IVA)</t>
  </si>
  <si>
    <t>Preparacion cama e instalación de cintas</t>
  </si>
  <si>
    <t>Diciembre</t>
  </si>
  <si>
    <t>Todo el año</t>
  </si>
  <si>
    <t>noviembre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</si>
  <si>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</si>
  <si>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</si>
  <si>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</si>
  <si>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</si>
  <si>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</si>
  <si>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</si>
  <si>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Estimulantes radiculares</t>
  </si>
  <si>
    <t>Carbendazima</t>
  </si>
  <si>
    <t>Microelementos /fetrilon combi</t>
  </si>
  <si>
    <t>2 kg</t>
  </si>
  <si>
    <t>rollo 100 m</t>
  </si>
  <si>
    <t>Polietileno reparacion 50 %  del total</t>
  </si>
  <si>
    <t>LISIANTHUS</t>
  </si>
  <si>
    <t>PRECIO ESPERADO ($/RAMO)</t>
  </si>
  <si>
    <t>Alto</t>
  </si>
  <si>
    <t>enero</t>
  </si>
  <si>
    <t>Sin pinzado</t>
  </si>
  <si>
    <t>diciembre</t>
  </si>
  <si>
    <t>Ciprodinilo + fludioxonilo</t>
  </si>
  <si>
    <t>1 kg</t>
  </si>
  <si>
    <t>mayo-agosto</t>
  </si>
  <si>
    <t>Iprodinoe</t>
  </si>
  <si>
    <t>Rendimiento (ramos/año x 5 inv)</t>
  </si>
  <si>
    <t>Costo unitario ($/ramo)</t>
  </si>
  <si>
    <t>Diversas</t>
  </si>
  <si>
    <t>RENDIMIENTO Ramos/ 1050 m2</t>
  </si>
  <si>
    <t>MERCADO INTERNO</t>
  </si>
  <si>
    <t xml:space="preserve">Entutorado </t>
  </si>
  <si>
    <t>Marzo</t>
  </si>
  <si>
    <t>ab- ag; nov- dic</t>
  </si>
  <si>
    <t>Compost</t>
  </si>
  <si>
    <t>m3</t>
  </si>
  <si>
    <t>Metan Sodio</t>
  </si>
  <si>
    <t>20 l</t>
  </si>
  <si>
    <t>LA CALERA</t>
  </si>
  <si>
    <t>Ab-Mayo; Nov-Dic</t>
  </si>
  <si>
    <t>ESCENARIOS COSTO UNITARIO  ($/Ramo)</t>
  </si>
  <si>
    <t xml:space="preserve">Plantin 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</si>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</sst>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41" fontId="18" fillId="0" borderId="0" applyFont="0" applyFill="0" applyBorder="0" applyAlignment="0" applyProtection="0"/>
    <xf numFmtId="42" fontId="20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7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49" fontId="12" fillId="8" borderId="24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4" fillId="8" borderId="36" xfId="0" applyNumberFormat="1" applyFont="1" applyFill="1" applyBorder="1" applyAlignment="1"/>
    <xf numFmtId="49" fontId="12" fillId="2" borderId="37" xfId="0" applyNumberFormat="1" applyFont="1" applyFill="1" applyBorder="1" applyAlignment="1">
      <alignment vertical="center"/>
    </xf>
    <xf numFmtId="9" fontId="14" fillId="2" borderId="38" xfId="0" applyNumberFormat="1" applyFont="1" applyFill="1" applyBorder="1" applyAlignment="1"/>
    <xf numFmtId="49" fontId="12" fillId="8" borderId="39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9" fontId="12" fillId="8" borderId="41" xfId="0" applyNumberFormat="1" applyFont="1" applyFill="1" applyBorder="1" applyAlignment="1">
      <alignment vertical="center"/>
    </xf>
    <xf numFmtId="0" fontId="14" fillId="9" borderId="44" xfId="0" applyFont="1" applyFill="1" applyBorder="1" applyAlignment="1"/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49" fontId="14" fillId="2" borderId="50" xfId="0" applyNumberFormat="1" applyFont="1" applyFill="1" applyBorder="1" applyAlignment="1">
      <alignment vertical="center"/>
    </xf>
    <xf numFmtId="0" fontId="14" fillId="2" borderId="51" xfId="0" applyFont="1" applyFill="1" applyBorder="1" applyAlignment="1"/>
    <xf numFmtId="0" fontId="14" fillId="2" borderId="52" xfId="0" applyFont="1" applyFill="1" applyBorder="1" applyAlignment="1"/>
    <xf numFmtId="0" fontId="12" fillId="7" borderId="23" xfId="0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9" fillId="9" borderId="23" xfId="0" applyFont="1" applyFill="1" applyBorder="1" applyAlignment="1">
      <alignment vertical="center"/>
    </xf>
    <xf numFmtId="0" fontId="9" fillId="9" borderId="53" xfId="0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19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41" fontId="12" fillId="8" borderId="55" xfId="1" applyFont="1" applyFill="1" applyBorder="1" applyAlignment="1">
      <alignment vertical="center"/>
    </xf>
    <xf numFmtId="41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2" fontId="0" fillId="0" borderId="0" xfId="2" applyFont="1" applyAlignment="1"/>
    <xf numFmtId="3" fontId="4" fillId="1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1" fillId="2" borderId="5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right"/>
    </xf>
    <xf numFmtId="164" fontId="11" fillId="10" borderId="6" xfId="0" applyNumberFormat="1" applyFont="1" applyFill="1" applyBorder="1" applyAlignment="1"/>
    <xf numFmtId="49" fontId="11" fillId="2" borderId="6" xfId="0" applyNumberFormat="1" applyFont="1" applyFill="1" applyBorder="1" applyAlignment="1">
      <alignment horizontal="right" wrapText="1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  <xf numFmtId="3" fontId="11" fillId="2" borderId="6" xfId="0" applyNumberFormat="1" applyFont="1" applyFill="1" applyBorder="1" applyAlignment="1">
      <alignment horizontal="right" wrapText="1"/>
    </xf>
    <xf numFmtId="14" fontId="11" fillId="2" borderId="6" xfId="0" applyNumberFormat="1" applyFont="1" applyFill="1" applyBorder="1" applyAlignment="1">
      <alignment horizontal="right"/>
    </xf>
    <xf numFmtId="49" fontId="17" fillId="9" borderId="42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6927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6310745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14"/>
  <sheetViews>
    <sheetView showGridLines="0" tabSelected="1" topLeftCell="B98" zoomScale="110" zoomScaleNormal="110" workbookViewId="0">
      <selection activeCell="G83" sqref="G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20.85546875" style="1" customWidth="1"/>
    <col min="9" max="9" width="11.85546875" style="1" bestFit="1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1" t="s">
        <v>113</v>
      </c>
      <c r="D9" s="7"/>
      <c r="E9" s="160" t="s">
        <v>126</v>
      </c>
      <c r="F9" s="161"/>
      <c r="G9" s="8">
        <f>+D112</f>
        <v>3000</v>
      </c>
    </row>
    <row r="10" spans="1:7" ht="15" x14ac:dyDescent="0.25">
      <c r="A10" s="5"/>
      <c r="B10" s="147" t="s">
        <v>1</v>
      </c>
      <c r="C10" s="148" t="s">
        <v>125</v>
      </c>
      <c r="D10" s="7"/>
      <c r="E10" s="158" t="s">
        <v>2</v>
      </c>
      <c r="F10" s="159"/>
      <c r="G10" s="149" t="s">
        <v>136</v>
      </c>
    </row>
    <row r="11" spans="1:7" ht="18" customHeight="1" x14ac:dyDescent="0.25">
      <c r="A11" s="5"/>
      <c r="B11" s="147" t="s">
        <v>3</v>
      </c>
      <c r="C11" s="149" t="s">
        <v>115</v>
      </c>
      <c r="D11" s="7"/>
      <c r="E11" s="158" t="s">
        <v>114</v>
      </c>
      <c r="F11" s="159"/>
      <c r="G11" s="150">
        <v>5000</v>
      </c>
    </row>
    <row r="12" spans="1:7" ht="20.45" customHeight="1" x14ac:dyDescent="0.25">
      <c r="A12" s="5"/>
      <c r="B12" s="147" t="s">
        <v>4</v>
      </c>
      <c r="C12" s="151" t="s">
        <v>61</v>
      </c>
      <c r="D12" s="7"/>
      <c r="E12" s="152" t="s">
        <v>5</v>
      </c>
      <c r="F12" s="153"/>
      <c r="G12" s="154">
        <f>+G11*G9</f>
        <v>15000000</v>
      </c>
    </row>
    <row r="13" spans="1:7" ht="23.25" x14ac:dyDescent="0.25">
      <c r="A13" s="5"/>
      <c r="B13" s="147" t="s">
        <v>6</v>
      </c>
      <c r="C13" s="149" t="s">
        <v>135</v>
      </c>
      <c r="D13" s="7"/>
      <c r="E13" s="158" t="s">
        <v>7</v>
      </c>
      <c r="F13" s="159"/>
      <c r="G13" s="151" t="s">
        <v>127</v>
      </c>
    </row>
    <row r="14" spans="1:7" ht="15" x14ac:dyDescent="0.25">
      <c r="A14" s="5"/>
      <c r="B14" s="147" t="s">
        <v>8</v>
      </c>
      <c r="C14" s="149" t="s">
        <v>60</v>
      </c>
      <c r="D14" s="7"/>
      <c r="E14" s="158" t="s">
        <v>9</v>
      </c>
      <c r="F14" s="159"/>
      <c r="G14" s="149" t="s">
        <v>62</v>
      </c>
    </row>
    <row r="15" spans="1:7" ht="25.5" customHeight="1" x14ac:dyDescent="0.25">
      <c r="A15" s="5"/>
      <c r="B15" s="147" t="s">
        <v>10</v>
      </c>
      <c r="C15" s="155">
        <v>44593</v>
      </c>
      <c r="D15" s="7"/>
      <c r="E15" s="162" t="s">
        <v>11</v>
      </c>
      <c r="F15" s="163"/>
      <c r="G15" s="151"/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8" ht="12" customHeight="1" x14ac:dyDescent="0.25">
      <c r="A17" s="19"/>
      <c r="B17" s="164" t="s">
        <v>96</v>
      </c>
      <c r="C17" s="165"/>
      <c r="D17" s="165"/>
      <c r="E17" s="165"/>
      <c r="F17" s="165"/>
      <c r="G17" s="165"/>
    </row>
    <row r="18" spans="1:8" ht="12" customHeight="1" x14ac:dyDescent="0.25">
      <c r="A18" s="2"/>
      <c r="B18" s="20"/>
      <c r="C18" s="21"/>
      <c r="D18" s="21"/>
      <c r="E18" s="21"/>
      <c r="F18" s="22"/>
      <c r="G18" s="22"/>
    </row>
    <row r="19" spans="1:8" ht="12" customHeight="1" x14ac:dyDescent="0.25">
      <c r="A19" s="5"/>
      <c r="B19" s="23" t="s">
        <v>12</v>
      </c>
      <c r="C19" s="24"/>
      <c r="D19" s="25"/>
      <c r="E19" s="25"/>
      <c r="F19" s="25"/>
      <c r="G19" s="25"/>
    </row>
    <row r="20" spans="1:8" ht="24" customHeight="1" x14ac:dyDescent="0.25">
      <c r="A20" s="19"/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6" t="s">
        <v>18</v>
      </c>
    </row>
    <row r="21" spans="1:8" ht="12.75" customHeight="1" x14ac:dyDescent="0.25">
      <c r="A21" s="19"/>
      <c r="B21" s="128" t="s">
        <v>63</v>
      </c>
      <c r="C21" s="27" t="s">
        <v>19</v>
      </c>
      <c r="D21" s="28">
        <f>7000*4*5/20000</f>
        <v>7</v>
      </c>
      <c r="E21" s="128" t="s">
        <v>116</v>
      </c>
      <c r="F21" s="13">
        <v>25000</v>
      </c>
      <c r="G21" s="13">
        <f>+F21*D21</f>
        <v>175000</v>
      </c>
    </row>
    <row r="22" spans="1:8" ht="12.75" customHeight="1" x14ac:dyDescent="0.25">
      <c r="A22" s="19"/>
      <c r="B22" s="128" t="s">
        <v>97</v>
      </c>
      <c r="C22" s="27" t="s">
        <v>19</v>
      </c>
      <c r="D22" s="28">
        <v>2</v>
      </c>
      <c r="E22" s="128" t="s">
        <v>98</v>
      </c>
      <c r="F22" s="13">
        <v>25000</v>
      </c>
      <c r="G22" s="13">
        <f>+F22*D22</f>
        <v>50000</v>
      </c>
    </row>
    <row r="23" spans="1:8" ht="12.75" customHeight="1" x14ac:dyDescent="0.25">
      <c r="A23" s="19"/>
      <c r="B23" s="128" t="s">
        <v>66</v>
      </c>
      <c r="C23" s="27" t="s">
        <v>117</v>
      </c>
      <c r="D23" s="28"/>
      <c r="E23" s="128"/>
      <c r="F23" s="13"/>
      <c r="G23" s="13"/>
    </row>
    <row r="24" spans="1:8" ht="12.75" customHeight="1" x14ac:dyDescent="0.25">
      <c r="A24" s="19"/>
      <c r="B24" s="9" t="s">
        <v>64</v>
      </c>
      <c r="C24" s="27" t="s">
        <v>19</v>
      </c>
      <c r="D24" s="28">
        <v>3</v>
      </c>
      <c r="E24" s="9" t="s">
        <v>99</v>
      </c>
      <c r="F24" s="13">
        <v>25000</v>
      </c>
      <c r="G24" s="13">
        <f t="shared" ref="G24:G27" si="0">+F24*D24</f>
        <v>75000</v>
      </c>
    </row>
    <row r="25" spans="1:8" ht="12.75" customHeight="1" x14ac:dyDescent="0.25">
      <c r="A25" s="19"/>
      <c r="B25" s="128" t="s">
        <v>128</v>
      </c>
      <c r="C25" s="27" t="s">
        <v>19</v>
      </c>
      <c r="D25" s="28">
        <v>5</v>
      </c>
      <c r="E25" s="128" t="s">
        <v>129</v>
      </c>
      <c r="F25" s="13">
        <v>25000</v>
      </c>
      <c r="G25" s="13">
        <f t="shared" si="0"/>
        <v>125000</v>
      </c>
    </row>
    <row r="26" spans="1:8" ht="12.75" customHeight="1" x14ac:dyDescent="0.25">
      <c r="A26" s="19"/>
      <c r="B26" s="128" t="s">
        <v>65</v>
      </c>
      <c r="C26" s="27" t="s">
        <v>19</v>
      </c>
      <c r="D26" s="28">
        <f>500*5*2/100</f>
        <v>50</v>
      </c>
      <c r="E26" s="128" t="s">
        <v>130</v>
      </c>
      <c r="F26" s="13">
        <v>25000</v>
      </c>
      <c r="G26" s="13">
        <f t="shared" si="0"/>
        <v>1250000</v>
      </c>
    </row>
    <row r="27" spans="1:8" ht="12.75" customHeight="1" x14ac:dyDescent="0.25">
      <c r="A27" s="19"/>
      <c r="B27" s="134" t="s">
        <v>82</v>
      </c>
      <c r="C27" s="27" t="s">
        <v>19</v>
      </c>
      <c r="D27" s="28">
        <v>30</v>
      </c>
      <c r="E27" s="128" t="s">
        <v>99</v>
      </c>
      <c r="F27" s="13">
        <v>25000</v>
      </c>
      <c r="G27" s="13">
        <f t="shared" si="0"/>
        <v>750000</v>
      </c>
    </row>
    <row r="28" spans="1:8" ht="12.75" customHeight="1" x14ac:dyDescent="0.25">
      <c r="A28" s="19"/>
      <c r="B28" s="134" t="s">
        <v>83</v>
      </c>
      <c r="C28" s="27" t="s">
        <v>19</v>
      </c>
      <c r="D28" s="28">
        <f>30000*5/20000</f>
        <v>7.5</v>
      </c>
      <c r="E28" s="128" t="s">
        <v>129</v>
      </c>
      <c r="F28" s="13">
        <v>40000</v>
      </c>
      <c r="G28" s="13">
        <f t="shared" ref="G28" si="1">+F28*D28</f>
        <v>300000</v>
      </c>
    </row>
    <row r="29" spans="1:8" ht="12.75" customHeight="1" x14ac:dyDescent="0.25">
      <c r="A29" s="19"/>
      <c r="B29" s="134"/>
      <c r="C29" s="27"/>
      <c r="D29" s="28"/>
      <c r="E29" s="128"/>
      <c r="F29" s="13"/>
      <c r="G29" s="13"/>
    </row>
    <row r="30" spans="1:8" ht="12.75" customHeight="1" x14ac:dyDescent="0.25">
      <c r="A30" s="19"/>
      <c r="B30" s="29" t="s">
        <v>20</v>
      </c>
      <c r="C30" s="30"/>
      <c r="D30" s="30"/>
      <c r="E30" s="30"/>
      <c r="F30" s="31"/>
      <c r="G30" s="32">
        <f>SUM(G24:G29)</f>
        <v>2500000</v>
      </c>
      <c r="H30" s="140"/>
    </row>
    <row r="31" spans="1:8" ht="12" customHeight="1" x14ac:dyDescent="0.25">
      <c r="A31" s="2"/>
      <c r="B31" s="20"/>
      <c r="C31" s="22"/>
      <c r="D31" s="22"/>
      <c r="E31" s="22"/>
      <c r="F31" s="33"/>
      <c r="G31" s="33"/>
    </row>
    <row r="32" spans="1:8" ht="12" customHeight="1" x14ac:dyDescent="0.25">
      <c r="A32" s="5"/>
      <c r="B32" s="34" t="s">
        <v>21</v>
      </c>
      <c r="C32" s="35"/>
      <c r="D32" s="36"/>
      <c r="E32" s="36"/>
      <c r="F32" s="37"/>
      <c r="G32" s="37"/>
    </row>
    <row r="33" spans="1:11" ht="24" customHeight="1" x14ac:dyDescent="0.25">
      <c r="A33" s="5"/>
      <c r="B33" s="38" t="s">
        <v>13</v>
      </c>
      <c r="C33" s="39" t="s">
        <v>14</v>
      </c>
      <c r="D33" s="39" t="s">
        <v>15</v>
      </c>
      <c r="E33" s="38" t="s">
        <v>16</v>
      </c>
      <c r="F33" s="39" t="s">
        <v>17</v>
      </c>
      <c r="G33" s="38" t="s">
        <v>18</v>
      </c>
    </row>
    <row r="34" spans="1:11" ht="12" customHeight="1" x14ac:dyDescent="0.25">
      <c r="A34" s="5"/>
      <c r="B34" s="40"/>
      <c r="C34" s="41"/>
      <c r="D34" s="41"/>
      <c r="E34" s="41"/>
      <c r="F34" s="40"/>
      <c r="G34" s="40"/>
    </row>
    <row r="35" spans="1:11" ht="12" customHeight="1" x14ac:dyDescent="0.25">
      <c r="A35" s="5"/>
      <c r="B35" s="42" t="s">
        <v>22</v>
      </c>
      <c r="C35" s="43"/>
      <c r="D35" s="43"/>
      <c r="E35" s="43"/>
      <c r="F35" s="44"/>
      <c r="G35" s="44"/>
    </row>
    <row r="36" spans="1:11" ht="12" customHeight="1" x14ac:dyDescent="0.25">
      <c r="A36" s="2"/>
      <c r="B36" s="45"/>
      <c r="C36" s="46"/>
      <c r="D36" s="46"/>
      <c r="E36" s="46"/>
      <c r="F36" s="47"/>
      <c r="G36" s="47"/>
    </row>
    <row r="37" spans="1:11" ht="12" customHeight="1" x14ac:dyDescent="0.25">
      <c r="A37" s="5"/>
      <c r="B37" s="34" t="s">
        <v>23</v>
      </c>
      <c r="C37" s="35"/>
      <c r="D37" s="36"/>
      <c r="E37" s="36"/>
      <c r="F37" s="37"/>
      <c r="G37" s="37"/>
    </row>
    <row r="38" spans="1:11" ht="24" customHeight="1" x14ac:dyDescent="0.25">
      <c r="A38" s="5"/>
      <c r="B38" s="48" t="s">
        <v>13</v>
      </c>
      <c r="C38" s="48" t="s">
        <v>14</v>
      </c>
      <c r="D38" s="48" t="s">
        <v>15</v>
      </c>
      <c r="E38" s="48" t="s">
        <v>16</v>
      </c>
      <c r="F38" s="49" t="s">
        <v>17</v>
      </c>
      <c r="G38" s="48" t="s">
        <v>18</v>
      </c>
    </row>
    <row r="39" spans="1:11" ht="12.75" customHeight="1" x14ac:dyDescent="0.25">
      <c r="A39" s="19"/>
      <c r="B39" s="9" t="s">
        <v>67</v>
      </c>
      <c r="C39" s="27" t="s">
        <v>139</v>
      </c>
      <c r="D39" s="28">
        <v>1</v>
      </c>
      <c r="E39" s="10" t="s">
        <v>118</v>
      </c>
      <c r="F39" s="13">
        <v>176000</v>
      </c>
      <c r="G39" s="13">
        <f>+F39*D39</f>
        <v>176000</v>
      </c>
    </row>
    <row r="40" spans="1:11" ht="12.75" customHeight="1" x14ac:dyDescent="0.25">
      <c r="A40" s="19"/>
      <c r="B40" s="9"/>
      <c r="C40" s="27"/>
      <c r="D40" s="28"/>
      <c r="E40" s="10"/>
      <c r="F40" s="13"/>
      <c r="G40" s="13"/>
    </row>
    <row r="41" spans="1:11" ht="12.75" customHeight="1" x14ac:dyDescent="0.25">
      <c r="A41" s="5"/>
      <c r="B41" s="50" t="s">
        <v>24</v>
      </c>
      <c r="C41" s="51"/>
      <c r="D41" s="51"/>
      <c r="E41" s="51"/>
      <c r="F41" s="52"/>
      <c r="G41" s="53">
        <f>SUM(G39:G40)</f>
        <v>176000</v>
      </c>
    </row>
    <row r="42" spans="1:11" ht="12" customHeight="1" x14ac:dyDescent="0.25">
      <c r="A42" s="2"/>
      <c r="B42" s="45"/>
      <c r="C42" s="46"/>
      <c r="D42" s="46"/>
      <c r="E42" s="46"/>
      <c r="F42" s="47"/>
      <c r="G42" s="47"/>
    </row>
    <row r="43" spans="1:11" ht="12" customHeight="1" x14ac:dyDescent="0.25">
      <c r="A43" s="5"/>
      <c r="B43" s="34" t="s">
        <v>25</v>
      </c>
      <c r="C43" s="35"/>
      <c r="D43" s="36"/>
      <c r="E43" s="36"/>
      <c r="F43" s="37"/>
      <c r="G43" s="37"/>
    </row>
    <row r="44" spans="1:11" ht="24" customHeight="1" x14ac:dyDescent="0.25">
      <c r="A44" s="5"/>
      <c r="B44" s="49" t="s">
        <v>26</v>
      </c>
      <c r="C44" s="49" t="s">
        <v>27</v>
      </c>
      <c r="D44" s="49" t="s">
        <v>28</v>
      </c>
      <c r="E44" s="49" t="s">
        <v>16</v>
      </c>
      <c r="F44" s="49" t="s">
        <v>17</v>
      </c>
      <c r="G44" s="49" t="s">
        <v>18</v>
      </c>
      <c r="K44" s="127"/>
    </row>
    <row r="45" spans="1:11" ht="12.75" customHeight="1" x14ac:dyDescent="0.25">
      <c r="A45" s="19"/>
      <c r="B45" s="129" t="s">
        <v>138</v>
      </c>
      <c r="C45" s="58" t="s">
        <v>69</v>
      </c>
      <c r="D45" s="130">
        <f>1000*4*5</f>
        <v>20000</v>
      </c>
      <c r="E45" s="58" t="s">
        <v>100</v>
      </c>
      <c r="F45" s="56">
        <f>90*1.19</f>
        <v>107.1</v>
      </c>
      <c r="G45" s="56">
        <f>+F45*D45</f>
        <v>2142000</v>
      </c>
    </row>
    <row r="46" spans="1:11" ht="12.75" customHeight="1" x14ac:dyDescent="0.25">
      <c r="A46" s="19"/>
      <c r="B46" s="57" t="s">
        <v>29</v>
      </c>
      <c r="C46" s="58"/>
      <c r="D46" s="12"/>
      <c r="E46" s="58"/>
      <c r="F46" s="56"/>
      <c r="G46" s="56"/>
    </row>
    <row r="47" spans="1:11" ht="12.75" customHeight="1" x14ac:dyDescent="0.25">
      <c r="A47" s="19"/>
      <c r="B47" s="129" t="s">
        <v>70</v>
      </c>
      <c r="C47" s="58" t="s">
        <v>30</v>
      </c>
      <c r="D47" s="130">
        <v>50</v>
      </c>
      <c r="E47" s="58" t="s">
        <v>68</v>
      </c>
      <c r="F47" s="56">
        <v>1880</v>
      </c>
      <c r="G47" s="56">
        <f>+F47*D47</f>
        <v>94000</v>
      </c>
    </row>
    <row r="48" spans="1:11" ht="12.75" customHeight="1" x14ac:dyDescent="0.25">
      <c r="A48" s="19"/>
      <c r="B48" s="129" t="s">
        <v>71</v>
      </c>
      <c r="C48" s="58" t="s">
        <v>30</v>
      </c>
      <c r="D48" s="130">
        <v>25</v>
      </c>
      <c r="E48" s="58" t="s">
        <v>68</v>
      </c>
      <c r="F48" s="56">
        <v>1000</v>
      </c>
      <c r="G48" s="56">
        <f>+F48*D48</f>
        <v>25000</v>
      </c>
    </row>
    <row r="49" spans="1:7" ht="12.75" customHeight="1" x14ac:dyDescent="0.25">
      <c r="A49" s="19"/>
      <c r="B49" s="129" t="s">
        <v>72</v>
      </c>
      <c r="C49" s="54" t="s">
        <v>30</v>
      </c>
      <c r="D49" s="55">
        <v>25</v>
      </c>
      <c r="E49" s="54" t="s">
        <v>68</v>
      </c>
      <c r="F49" s="56">
        <v>720</v>
      </c>
      <c r="G49" s="56">
        <f>(D49*F49)</f>
        <v>18000</v>
      </c>
    </row>
    <row r="50" spans="1:7" ht="12.75" customHeight="1" x14ac:dyDescent="0.25">
      <c r="A50" s="19"/>
      <c r="B50" s="129" t="s">
        <v>73</v>
      </c>
      <c r="C50" s="54" t="s">
        <v>31</v>
      </c>
      <c r="D50" s="55">
        <v>25</v>
      </c>
      <c r="E50" s="54" t="s">
        <v>68</v>
      </c>
      <c r="F50" s="56">
        <v>1800</v>
      </c>
      <c r="G50" s="56">
        <f>(D50*F50)</f>
        <v>45000</v>
      </c>
    </row>
    <row r="51" spans="1:7" ht="12.75" customHeight="1" x14ac:dyDescent="0.25">
      <c r="A51" s="19"/>
      <c r="B51" s="129" t="s">
        <v>74</v>
      </c>
      <c r="C51" s="54" t="s">
        <v>30</v>
      </c>
      <c r="D51" s="55">
        <v>50</v>
      </c>
      <c r="E51" s="54" t="s">
        <v>68</v>
      </c>
      <c r="F51" s="56">
        <v>885</v>
      </c>
      <c r="G51" s="56">
        <f>+F51*D51</f>
        <v>44250</v>
      </c>
    </row>
    <row r="52" spans="1:7" ht="12.75" customHeight="1" x14ac:dyDescent="0.25">
      <c r="A52" s="19"/>
      <c r="B52" s="129" t="s">
        <v>109</v>
      </c>
      <c r="C52" s="54" t="s">
        <v>110</v>
      </c>
      <c r="D52" s="55">
        <v>1</v>
      </c>
      <c r="E52" s="54" t="s">
        <v>68</v>
      </c>
      <c r="F52" s="56">
        <f>34000*1.19</f>
        <v>40460</v>
      </c>
      <c r="G52" s="56">
        <f>+F52*D52</f>
        <v>40460</v>
      </c>
    </row>
    <row r="53" spans="1:7" ht="12.75" customHeight="1" x14ac:dyDescent="0.25">
      <c r="A53" s="19"/>
      <c r="B53" s="129"/>
      <c r="C53" s="54"/>
      <c r="D53" s="55"/>
      <c r="E53" s="54"/>
      <c r="F53" s="56"/>
      <c r="G53" s="56"/>
    </row>
    <row r="54" spans="1:7" ht="12.75" customHeight="1" x14ac:dyDescent="0.25">
      <c r="A54" s="19"/>
      <c r="B54" s="57" t="s">
        <v>32</v>
      </c>
      <c r="C54" s="58"/>
      <c r="D54" s="12"/>
      <c r="E54" s="58"/>
      <c r="F54" s="56"/>
      <c r="G54" s="56"/>
    </row>
    <row r="55" spans="1:7" ht="12.75" customHeight="1" x14ac:dyDescent="0.25">
      <c r="A55" s="19"/>
      <c r="B55" s="11" t="s">
        <v>75</v>
      </c>
      <c r="C55" s="54" t="s">
        <v>76</v>
      </c>
      <c r="D55" s="55">
        <v>1</v>
      </c>
      <c r="E55" s="54" t="s">
        <v>68</v>
      </c>
      <c r="F55" s="56">
        <v>18500</v>
      </c>
      <c r="G55" s="56">
        <f>+F55*D55</f>
        <v>18500</v>
      </c>
    </row>
    <row r="56" spans="1:7" ht="12.75" customHeight="1" x14ac:dyDescent="0.25">
      <c r="A56" s="19"/>
      <c r="B56" s="11" t="s">
        <v>77</v>
      </c>
      <c r="C56" s="54" t="s">
        <v>78</v>
      </c>
      <c r="D56" s="55">
        <v>2</v>
      </c>
      <c r="E56" s="54" t="s">
        <v>68</v>
      </c>
      <c r="F56" s="56">
        <v>17350</v>
      </c>
      <c r="G56" s="56">
        <f>+F56*D56</f>
        <v>34700</v>
      </c>
    </row>
    <row r="57" spans="1:7" ht="12.75" customHeight="1" x14ac:dyDescent="0.25">
      <c r="A57" s="19"/>
      <c r="B57" s="57" t="s">
        <v>91</v>
      </c>
      <c r="C57" s="58"/>
      <c r="D57" s="12"/>
      <c r="E57" s="58"/>
      <c r="F57" s="56"/>
      <c r="G57" s="56"/>
    </row>
    <row r="58" spans="1:7" ht="12.75" customHeight="1" x14ac:dyDescent="0.25">
      <c r="A58" s="19"/>
      <c r="B58" s="129" t="s">
        <v>87</v>
      </c>
      <c r="C58" s="54" t="s">
        <v>88</v>
      </c>
      <c r="D58" s="55">
        <v>0.5</v>
      </c>
      <c r="E58" s="54" t="s">
        <v>68</v>
      </c>
      <c r="F58" s="56">
        <v>113061</v>
      </c>
      <c r="G58" s="139">
        <f t="shared" ref="G58:G63" si="2">+F58*D58</f>
        <v>56530.5</v>
      </c>
    </row>
    <row r="59" spans="1:7" ht="12.75" customHeight="1" x14ac:dyDescent="0.25">
      <c r="A59" s="19"/>
      <c r="B59" s="129" t="s">
        <v>79</v>
      </c>
      <c r="C59" s="54" t="s">
        <v>88</v>
      </c>
      <c r="D59" s="55">
        <v>1</v>
      </c>
      <c r="E59" s="54" t="s">
        <v>68</v>
      </c>
      <c r="F59" s="56">
        <v>31178</v>
      </c>
      <c r="G59" s="139">
        <f t="shared" si="2"/>
        <v>31178</v>
      </c>
    </row>
    <row r="60" spans="1:7" ht="12.75" customHeight="1" x14ac:dyDescent="0.25">
      <c r="A60" s="19"/>
      <c r="B60" s="129" t="s">
        <v>89</v>
      </c>
      <c r="C60" s="54" t="s">
        <v>90</v>
      </c>
      <c r="D60" s="55">
        <v>1</v>
      </c>
      <c r="E60" s="54" t="s">
        <v>68</v>
      </c>
      <c r="F60" s="56">
        <v>24050</v>
      </c>
      <c r="G60" s="139">
        <f t="shared" si="2"/>
        <v>24050</v>
      </c>
    </row>
    <row r="61" spans="1:7" ht="12.75" customHeight="1" x14ac:dyDescent="0.25">
      <c r="A61" s="19"/>
      <c r="B61" s="129" t="s">
        <v>119</v>
      </c>
      <c r="C61" s="54" t="s">
        <v>120</v>
      </c>
      <c r="D61" s="55">
        <v>1</v>
      </c>
      <c r="E61" s="54" t="s">
        <v>121</v>
      </c>
      <c r="F61" s="143">
        <v>239500</v>
      </c>
      <c r="G61" s="139">
        <f t="shared" si="2"/>
        <v>239500</v>
      </c>
    </row>
    <row r="62" spans="1:7" ht="12.75" customHeight="1" x14ac:dyDescent="0.25">
      <c r="A62" s="19"/>
      <c r="B62" s="129" t="s">
        <v>104</v>
      </c>
      <c r="C62" s="54" t="s">
        <v>88</v>
      </c>
      <c r="D62" s="55">
        <v>0.5</v>
      </c>
      <c r="E62" s="54" t="s">
        <v>68</v>
      </c>
      <c r="F62" s="56">
        <v>56474</v>
      </c>
      <c r="G62" s="139">
        <f t="shared" si="2"/>
        <v>28237</v>
      </c>
    </row>
    <row r="63" spans="1:7" ht="12.75" customHeight="1" x14ac:dyDescent="0.25">
      <c r="A63" s="19"/>
      <c r="B63" s="129" t="s">
        <v>108</v>
      </c>
      <c r="C63" s="54" t="s">
        <v>88</v>
      </c>
      <c r="D63" s="55">
        <v>1</v>
      </c>
      <c r="E63" s="54" t="s">
        <v>68</v>
      </c>
      <c r="F63" s="56">
        <v>21600</v>
      </c>
      <c r="G63" s="139">
        <f t="shared" si="2"/>
        <v>21600</v>
      </c>
    </row>
    <row r="64" spans="1:7" ht="12.75" customHeight="1" x14ac:dyDescent="0.25">
      <c r="A64" s="19"/>
      <c r="B64" s="129" t="s">
        <v>122</v>
      </c>
      <c r="C64" s="54" t="s">
        <v>120</v>
      </c>
      <c r="D64" s="55">
        <v>1</v>
      </c>
      <c r="E64" s="54" t="s">
        <v>121</v>
      </c>
      <c r="F64" s="56">
        <f>35000*1.3</f>
        <v>45500</v>
      </c>
      <c r="G64" s="139">
        <f>+F64+D64</f>
        <v>45501</v>
      </c>
    </row>
    <row r="65" spans="1:7" ht="12.75" customHeight="1" x14ac:dyDescent="0.25">
      <c r="A65" s="19"/>
      <c r="B65" s="131" t="s">
        <v>133</v>
      </c>
      <c r="C65" s="54" t="s">
        <v>134</v>
      </c>
      <c r="D65" s="55">
        <f>120*30*4*5/1000/20</f>
        <v>3.6</v>
      </c>
      <c r="E65" s="54" t="s">
        <v>118</v>
      </c>
      <c r="F65" s="143">
        <f>2650*1.19*20*1.3</f>
        <v>81991</v>
      </c>
      <c r="G65" s="139">
        <f>+F65*D65</f>
        <v>295167.60000000003</v>
      </c>
    </row>
    <row r="66" spans="1:7" ht="12.75" customHeight="1" x14ac:dyDescent="0.25">
      <c r="A66" s="19"/>
      <c r="B66" s="57" t="s">
        <v>34</v>
      </c>
      <c r="C66" s="54"/>
      <c r="D66" s="55"/>
      <c r="E66" s="54"/>
      <c r="F66" s="56"/>
      <c r="G66" s="55"/>
    </row>
    <row r="67" spans="1:7" ht="12.75" customHeight="1" x14ac:dyDescent="0.25">
      <c r="A67" s="19"/>
      <c r="B67" s="131" t="s">
        <v>131</v>
      </c>
      <c r="C67" s="54" t="s">
        <v>132</v>
      </c>
      <c r="D67" s="55">
        <v>5</v>
      </c>
      <c r="E67" s="54" t="s">
        <v>118</v>
      </c>
      <c r="F67" s="143">
        <v>25000</v>
      </c>
      <c r="G67" s="139">
        <f>+F67*D67</f>
        <v>125000</v>
      </c>
    </row>
    <row r="68" spans="1:7" ht="12.75" customHeight="1" x14ac:dyDescent="0.25">
      <c r="A68" s="19"/>
      <c r="B68" s="129" t="s">
        <v>107</v>
      </c>
      <c r="C68" s="54" t="s">
        <v>88</v>
      </c>
      <c r="D68" s="55">
        <v>1</v>
      </c>
      <c r="E68" s="54" t="s">
        <v>68</v>
      </c>
      <c r="F68" s="56">
        <v>35447</v>
      </c>
      <c r="G68" s="139">
        <f t="shared" ref="G68:G76" si="3">+F68*D68</f>
        <v>35447</v>
      </c>
    </row>
    <row r="69" spans="1:7" ht="12.75" customHeight="1" x14ac:dyDescent="0.25">
      <c r="A69" s="19"/>
      <c r="B69" s="129" t="s">
        <v>106</v>
      </c>
      <c r="C69" s="54" t="s">
        <v>88</v>
      </c>
      <c r="D69" s="55">
        <v>2</v>
      </c>
      <c r="E69" s="54" t="s">
        <v>68</v>
      </c>
      <c r="F69" s="56">
        <v>21000</v>
      </c>
      <c r="G69" s="56">
        <f t="shared" si="3"/>
        <v>42000</v>
      </c>
    </row>
    <row r="70" spans="1:7" ht="12.75" customHeight="1" x14ac:dyDescent="0.25">
      <c r="A70" s="19"/>
      <c r="B70" s="129" t="s">
        <v>105</v>
      </c>
      <c r="C70" s="54" t="s">
        <v>78</v>
      </c>
      <c r="D70" s="55">
        <v>2</v>
      </c>
      <c r="E70" s="54" t="s">
        <v>68</v>
      </c>
      <c r="F70" s="56">
        <v>21840</v>
      </c>
      <c r="G70" s="56">
        <f t="shared" si="3"/>
        <v>43680</v>
      </c>
    </row>
    <row r="71" spans="1:7" ht="12.75" customHeight="1" x14ac:dyDescent="0.25">
      <c r="A71" s="19"/>
      <c r="B71" s="129" t="s">
        <v>80</v>
      </c>
      <c r="C71" s="54" t="s">
        <v>93</v>
      </c>
      <c r="D71" s="55">
        <v>1</v>
      </c>
      <c r="E71" s="54" t="s">
        <v>68</v>
      </c>
      <c r="F71" s="56">
        <v>47000</v>
      </c>
      <c r="G71" s="56">
        <f t="shared" si="3"/>
        <v>47000</v>
      </c>
    </row>
    <row r="72" spans="1:7" ht="12.75" customHeight="1" x14ac:dyDescent="0.25">
      <c r="A72" s="19"/>
      <c r="B72" s="129" t="s">
        <v>112</v>
      </c>
      <c r="C72" s="54" t="s">
        <v>111</v>
      </c>
      <c r="D72" s="55">
        <v>1.5</v>
      </c>
      <c r="E72" s="54" t="s">
        <v>85</v>
      </c>
      <c r="F72" s="56">
        <v>300000</v>
      </c>
      <c r="G72" s="56">
        <f t="shared" si="3"/>
        <v>450000</v>
      </c>
    </row>
    <row r="73" spans="1:7" ht="12.75" customHeight="1" x14ac:dyDescent="0.25">
      <c r="A73" s="19"/>
      <c r="B73" s="129" t="s">
        <v>84</v>
      </c>
      <c r="C73" s="54" t="s">
        <v>86</v>
      </c>
      <c r="D73" s="55">
        <v>0.5</v>
      </c>
      <c r="E73" s="54" t="s">
        <v>85</v>
      </c>
      <c r="F73" s="56">
        <v>32000</v>
      </c>
      <c r="G73" s="56">
        <f t="shared" si="3"/>
        <v>16000</v>
      </c>
    </row>
    <row r="74" spans="1:7" ht="12.75" customHeight="1" x14ac:dyDescent="0.25">
      <c r="A74" s="19"/>
      <c r="B74" s="135" t="s">
        <v>94</v>
      </c>
      <c r="C74" s="136" t="s">
        <v>95</v>
      </c>
      <c r="D74" s="137">
        <f>32*4*4*5</f>
        <v>2560</v>
      </c>
      <c r="E74" s="136" t="s">
        <v>85</v>
      </c>
      <c r="F74" s="132">
        <v>71</v>
      </c>
      <c r="G74" s="132">
        <f t="shared" si="3"/>
        <v>181760</v>
      </c>
    </row>
    <row r="75" spans="1:7" ht="12.75" customHeight="1" x14ac:dyDescent="0.25">
      <c r="A75" s="19"/>
      <c r="B75" s="135" t="s">
        <v>102</v>
      </c>
      <c r="C75" s="136" t="s">
        <v>103</v>
      </c>
      <c r="D75" s="137">
        <v>1</v>
      </c>
      <c r="E75" s="136" t="s">
        <v>68</v>
      </c>
      <c r="F75" s="132">
        <v>88364</v>
      </c>
      <c r="G75" s="132">
        <f t="shared" si="3"/>
        <v>88364</v>
      </c>
    </row>
    <row r="76" spans="1:7" ht="12.75" customHeight="1" x14ac:dyDescent="0.25">
      <c r="A76" s="19"/>
      <c r="B76" s="59" t="s">
        <v>101</v>
      </c>
      <c r="C76" s="60" t="s">
        <v>92</v>
      </c>
      <c r="D76" s="61">
        <v>12</v>
      </c>
      <c r="E76" s="60" t="s">
        <v>68</v>
      </c>
      <c r="F76" s="62">
        <f>150000/40*5</f>
        <v>18750</v>
      </c>
      <c r="G76" s="62">
        <f t="shared" si="3"/>
        <v>225000</v>
      </c>
    </row>
    <row r="77" spans="1:7" ht="13.5" customHeight="1" x14ac:dyDescent="0.25">
      <c r="A77" s="5"/>
      <c r="B77" s="63" t="s">
        <v>33</v>
      </c>
      <c r="C77" s="64"/>
      <c r="D77" s="64"/>
      <c r="E77" s="64"/>
      <c r="F77" s="65"/>
      <c r="G77" s="66">
        <f>SUM(G45:G76)</f>
        <v>4457925.0999999996</v>
      </c>
    </row>
    <row r="78" spans="1:7" ht="12" customHeight="1" x14ac:dyDescent="0.25">
      <c r="A78" s="2"/>
      <c r="B78" s="45"/>
      <c r="C78" s="46"/>
      <c r="D78" s="46"/>
      <c r="E78" s="67"/>
      <c r="F78" s="47"/>
      <c r="G78" s="47"/>
    </row>
    <row r="79" spans="1:7" ht="12" customHeight="1" x14ac:dyDescent="0.25">
      <c r="A79" s="133" t="s">
        <v>81</v>
      </c>
      <c r="B79" s="45"/>
      <c r="C79" s="46"/>
      <c r="D79" s="46"/>
      <c r="E79" s="67"/>
      <c r="F79" s="47"/>
      <c r="G79" s="47"/>
    </row>
    <row r="80" spans="1:7" ht="12" customHeight="1" x14ac:dyDescent="0.25">
      <c r="A80" s="5"/>
      <c r="B80" s="34" t="s">
        <v>34</v>
      </c>
      <c r="C80" s="35"/>
      <c r="D80" s="36"/>
      <c r="E80" s="36"/>
      <c r="F80" s="37"/>
      <c r="G80" s="37"/>
    </row>
    <row r="81" spans="1:9" ht="24" customHeight="1" x14ac:dyDescent="0.25">
      <c r="A81" s="5"/>
      <c r="B81" s="48" t="s">
        <v>35</v>
      </c>
      <c r="C81" s="49" t="s">
        <v>27</v>
      </c>
      <c r="D81" s="49" t="s">
        <v>28</v>
      </c>
      <c r="E81" s="48" t="s">
        <v>16</v>
      </c>
      <c r="F81" s="49" t="s">
        <v>17</v>
      </c>
      <c r="G81" s="48" t="s">
        <v>18</v>
      </c>
    </row>
    <row r="82" spans="1:9" ht="12.75" customHeight="1" x14ac:dyDescent="0.25">
      <c r="A82" s="19"/>
      <c r="B82" s="128"/>
      <c r="C82" s="54"/>
      <c r="D82" s="56"/>
      <c r="E82" s="27"/>
      <c r="F82" s="68"/>
      <c r="G82" s="56"/>
    </row>
    <row r="83" spans="1:9" ht="13.5" customHeight="1" x14ac:dyDescent="0.25">
      <c r="A83" s="5"/>
      <c r="B83" s="69" t="s">
        <v>36</v>
      </c>
      <c r="C83" s="70"/>
      <c r="D83" s="70"/>
      <c r="E83" s="70"/>
      <c r="F83" s="71"/>
      <c r="G83" s="72"/>
    </row>
    <row r="84" spans="1:9" ht="12" customHeight="1" x14ac:dyDescent="0.25">
      <c r="A84" s="2"/>
      <c r="B84" s="89"/>
      <c r="C84" s="89"/>
      <c r="D84" s="89"/>
      <c r="E84" s="89"/>
      <c r="F84" s="90"/>
      <c r="G84" s="90"/>
    </row>
    <row r="85" spans="1:9" ht="12" customHeight="1" x14ac:dyDescent="0.25">
      <c r="A85" s="86"/>
      <c r="B85" s="91" t="s">
        <v>37</v>
      </c>
      <c r="C85" s="92"/>
      <c r="D85" s="92"/>
      <c r="E85" s="92"/>
      <c r="F85" s="92"/>
      <c r="G85" s="93">
        <f>G30+G41+G77+G83</f>
        <v>7133925.0999999996</v>
      </c>
    </row>
    <row r="86" spans="1:9" ht="12" customHeight="1" x14ac:dyDescent="0.25">
      <c r="A86" s="86"/>
      <c r="B86" s="94" t="s">
        <v>38</v>
      </c>
      <c r="C86" s="74"/>
      <c r="D86" s="74"/>
      <c r="E86" s="74"/>
      <c r="F86" s="74"/>
      <c r="G86" s="95">
        <f>G85*0.05</f>
        <v>356696.255</v>
      </c>
    </row>
    <row r="87" spans="1:9" ht="12" customHeight="1" x14ac:dyDescent="0.25">
      <c r="A87" s="86"/>
      <c r="B87" s="96" t="s">
        <v>39</v>
      </c>
      <c r="C87" s="73"/>
      <c r="D87" s="73"/>
      <c r="E87" s="73"/>
      <c r="F87" s="73"/>
      <c r="G87" s="97">
        <f>G86+G85</f>
        <v>7490621.3549999995</v>
      </c>
    </row>
    <row r="88" spans="1:9" ht="12" customHeight="1" x14ac:dyDescent="0.25">
      <c r="A88" s="86"/>
      <c r="B88" s="94" t="s">
        <v>40</v>
      </c>
      <c r="C88" s="74"/>
      <c r="D88" s="74"/>
      <c r="E88" s="74"/>
      <c r="F88" s="74"/>
      <c r="G88" s="95">
        <f>G12</f>
        <v>15000000</v>
      </c>
    </row>
    <row r="89" spans="1:9" ht="12" customHeight="1" x14ac:dyDescent="0.25">
      <c r="A89" s="86"/>
      <c r="B89" s="98" t="s">
        <v>41</v>
      </c>
      <c r="C89" s="99"/>
      <c r="D89" s="99"/>
      <c r="E89" s="99"/>
      <c r="F89" s="99"/>
      <c r="G89" s="100">
        <f>G88-G87</f>
        <v>7509378.6450000005</v>
      </c>
      <c r="I89" s="142"/>
    </row>
    <row r="90" spans="1:9" ht="12" customHeight="1" x14ac:dyDescent="0.25">
      <c r="A90" s="86"/>
      <c r="B90" s="87" t="s">
        <v>42</v>
      </c>
      <c r="C90" s="88"/>
      <c r="D90" s="88"/>
      <c r="E90" s="88"/>
      <c r="F90" s="88"/>
      <c r="G90" s="83">
        <f ca="1">+G89:G90/12</f>
        <v>0</v>
      </c>
    </row>
    <row r="91" spans="1:9" ht="12.75" customHeight="1" thickBot="1" x14ac:dyDescent="0.3">
      <c r="A91" s="86"/>
      <c r="B91" s="101"/>
      <c r="C91" s="88"/>
      <c r="D91" s="88"/>
      <c r="E91" s="88"/>
      <c r="F91" s="88"/>
      <c r="G91" s="83"/>
    </row>
    <row r="92" spans="1:9" ht="12" customHeight="1" x14ac:dyDescent="0.25">
      <c r="A92" s="86"/>
      <c r="B92" s="113" t="s">
        <v>43</v>
      </c>
      <c r="C92" s="114"/>
      <c r="D92" s="114"/>
      <c r="E92" s="114"/>
      <c r="F92" s="115"/>
      <c r="G92" s="83"/>
    </row>
    <row r="93" spans="1:9" ht="12" customHeight="1" x14ac:dyDescent="0.25">
      <c r="A93" s="86"/>
      <c r="B93" s="116" t="s">
        <v>44</v>
      </c>
      <c r="C93" s="85"/>
      <c r="D93" s="85"/>
      <c r="E93" s="85"/>
      <c r="F93" s="117"/>
      <c r="G93" s="83"/>
    </row>
    <row r="94" spans="1:9" ht="12" customHeight="1" x14ac:dyDescent="0.25">
      <c r="A94" s="86"/>
      <c r="B94" s="116" t="s">
        <v>45</v>
      </c>
      <c r="C94" s="85"/>
      <c r="D94" s="85"/>
      <c r="E94" s="85"/>
      <c r="F94" s="117"/>
      <c r="G94" s="83"/>
    </row>
    <row r="95" spans="1:9" ht="12" customHeight="1" x14ac:dyDescent="0.25">
      <c r="A95" s="86"/>
      <c r="B95" s="116" t="s">
        <v>46</v>
      </c>
      <c r="C95" s="85"/>
      <c r="D95" s="85"/>
      <c r="E95" s="85"/>
      <c r="F95" s="117"/>
      <c r="G95" s="83"/>
    </row>
    <row r="96" spans="1:9" ht="12" customHeight="1" x14ac:dyDescent="0.25">
      <c r="A96" s="86"/>
      <c r="B96" s="116" t="s">
        <v>47</v>
      </c>
      <c r="C96" s="85"/>
      <c r="D96" s="85"/>
      <c r="E96" s="85"/>
      <c r="F96" s="117"/>
      <c r="G96" s="83"/>
    </row>
    <row r="97" spans="1:7" ht="12" customHeight="1" x14ac:dyDescent="0.25">
      <c r="A97" s="86"/>
      <c r="B97" s="116" t="s">
        <v>48</v>
      </c>
      <c r="C97" s="85"/>
      <c r="D97" s="85"/>
      <c r="E97" s="85"/>
      <c r="F97" s="117"/>
      <c r="G97" s="83"/>
    </row>
    <row r="98" spans="1:7" ht="12.75" customHeight="1" thickBot="1" x14ac:dyDescent="0.3">
      <c r="A98" s="86"/>
      <c r="B98" s="118" t="s">
        <v>49</v>
      </c>
      <c r="C98" s="119"/>
      <c r="D98" s="119"/>
      <c r="E98" s="119"/>
      <c r="F98" s="120"/>
      <c r="G98" s="83"/>
    </row>
    <row r="99" spans="1:7" ht="12.75" customHeight="1" x14ac:dyDescent="0.25">
      <c r="A99" s="86"/>
      <c r="B99" s="111"/>
      <c r="C99" s="85"/>
      <c r="D99" s="85"/>
      <c r="E99" s="85"/>
      <c r="F99" s="85"/>
      <c r="G99" s="83"/>
    </row>
    <row r="100" spans="1:7" ht="15" customHeight="1" thickBot="1" x14ac:dyDescent="0.3">
      <c r="A100" s="86"/>
      <c r="B100" s="156" t="s">
        <v>50</v>
      </c>
      <c r="C100" s="157"/>
      <c r="D100" s="110"/>
      <c r="E100" s="76"/>
      <c r="F100" s="76"/>
      <c r="G100" s="83"/>
    </row>
    <row r="101" spans="1:7" ht="12" customHeight="1" x14ac:dyDescent="0.25">
      <c r="A101" s="86"/>
      <c r="B101" s="103" t="s">
        <v>35</v>
      </c>
      <c r="C101" s="77" t="s">
        <v>51</v>
      </c>
      <c r="D101" s="104" t="s">
        <v>52</v>
      </c>
      <c r="E101" s="76"/>
      <c r="F101" s="76"/>
      <c r="G101" s="83"/>
    </row>
    <row r="102" spans="1:7" ht="12" customHeight="1" x14ac:dyDescent="0.25">
      <c r="A102" s="86"/>
      <c r="B102" s="105" t="s">
        <v>53</v>
      </c>
      <c r="C102" s="78">
        <f>+G30</f>
        <v>2500000</v>
      </c>
      <c r="D102" s="106">
        <f>(C102/C108)</f>
        <v>0.33375068389102952</v>
      </c>
      <c r="E102" s="76"/>
      <c r="F102" s="76"/>
      <c r="G102" s="83"/>
    </row>
    <row r="103" spans="1:7" ht="12" customHeight="1" x14ac:dyDescent="0.25">
      <c r="A103" s="86"/>
      <c r="B103" s="105" t="s">
        <v>54</v>
      </c>
      <c r="C103" s="79">
        <f>+G35</f>
        <v>0</v>
      </c>
      <c r="D103" s="106">
        <v>0</v>
      </c>
      <c r="E103" s="76"/>
      <c r="F103" s="76"/>
      <c r="G103" s="83"/>
    </row>
    <row r="104" spans="1:7" ht="12" customHeight="1" x14ac:dyDescent="0.25">
      <c r="A104" s="86"/>
      <c r="B104" s="105" t="s">
        <v>55</v>
      </c>
      <c r="C104" s="78">
        <f>+G41</f>
        <v>176000</v>
      </c>
      <c r="D104" s="106">
        <f>(C104/C108)</f>
        <v>2.3496048145928476E-2</v>
      </c>
      <c r="E104" s="76"/>
      <c r="F104" s="76"/>
      <c r="G104" s="83"/>
    </row>
    <row r="105" spans="1:7" ht="12" customHeight="1" x14ac:dyDescent="0.25">
      <c r="A105" s="86"/>
      <c r="B105" s="105" t="s">
        <v>26</v>
      </c>
      <c r="C105" s="78">
        <f>+G77</f>
        <v>4457925.0999999996</v>
      </c>
      <c r="D105" s="106">
        <f>(C105/C108)</f>
        <v>0.59513422034399444</v>
      </c>
      <c r="E105" s="76"/>
      <c r="F105" s="76"/>
      <c r="G105" s="83"/>
    </row>
    <row r="106" spans="1:7" ht="12" customHeight="1" x14ac:dyDescent="0.25">
      <c r="A106" s="86"/>
      <c r="B106" s="105" t="s">
        <v>56</v>
      </c>
      <c r="C106" s="80">
        <f>+G83</f>
        <v>0</v>
      </c>
      <c r="D106" s="106">
        <f>(C106/C108)</f>
        <v>0</v>
      </c>
      <c r="E106" s="82"/>
      <c r="F106" s="82"/>
      <c r="G106" s="83"/>
    </row>
    <row r="107" spans="1:7" ht="12" customHeight="1" x14ac:dyDescent="0.25">
      <c r="A107" s="86"/>
      <c r="B107" s="105" t="s">
        <v>57</v>
      </c>
      <c r="C107" s="80">
        <f>+G86</f>
        <v>356696.255</v>
      </c>
      <c r="D107" s="106">
        <f>(C107/C108)</f>
        <v>4.7619047619047623E-2</v>
      </c>
      <c r="E107" s="82"/>
      <c r="F107" s="82"/>
      <c r="G107" s="83"/>
    </row>
    <row r="108" spans="1:7" ht="12.75" customHeight="1" thickBot="1" x14ac:dyDescent="0.3">
      <c r="A108" s="86"/>
      <c r="B108" s="107" t="s">
        <v>58</v>
      </c>
      <c r="C108" s="108">
        <f>SUM(C102:C107)</f>
        <v>7490621.3549999995</v>
      </c>
      <c r="D108" s="109">
        <f>SUM(D102:D107)</f>
        <v>1</v>
      </c>
      <c r="E108" s="82"/>
      <c r="F108" s="82"/>
      <c r="G108" s="83"/>
    </row>
    <row r="109" spans="1:7" ht="12" customHeight="1" x14ac:dyDescent="0.25">
      <c r="A109" s="86"/>
      <c r="B109" s="101"/>
      <c r="C109" s="88"/>
      <c r="D109" s="88"/>
      <c r="E109" s="88"/>
      <c r="F109" s="88"/>
      <c r="G109" s="83"/>
    </row>
    <row r="110" spans="1:7" ht="12.75" customHeight="1" x14ac:dyDescent="0.25">
      <c r="A110" s="86"/>
      <c r="B110" s="102"/>
      <c r="C110" s="88"/>
      <c r="D110" s="88"/>
      <c r="E110" s="88"/>
      <c r="F110" s="88"/>
      <c r="G110" s="83"/>
    </row>
    <row r="111" spans="1:7" ht="12" customHeight="1" thickBot="1" x14ac:dyDescent="0.3">
      <c r="A111" s="75"/>
      <c r="B111" s="122"/>
      <c r="C111" s="123" t="s">
        <v>137</v>
      </c>
      <c r="D111" s="124"/>
      <c r="E111" s="125"/>
      <c r="F111" s="81"/>
      <c r="G111" s="83"/>
    </row>
    <row r="112" spans="1:7" ht="12" customHeight="1" thickBot="1" x14ac:dyDescent="0.3">
      <c r="A112" s="86"/>
      <c r="B112" s="126" t="s">
        <v>123</v>
      </c>
      <c r="C112" s="138">
        <f>400*5</f>
        <v>2000</v>
      </c>
      <c r="D112" s="138">
        <f>600*5</f>
        <v>3000</v>
      </c>
      <c r="E112" s="138">
        <f>700*5</f>
        <v>3500</v>
      </c>
      <c r="F112" s="121"/>
      <c r="G112" s="84"/>
    </row>
    <row r="113" spans="1:7" ht="12.75" customHeight="1" thickBot="1" x14ac:dyDescent="0.3">
      <c r="A113" s="86"/>
      <c r="B113" s="107" t="s">
        <v>124</v>
      </c>
      <c r="C113" s="108">
        <f>+C108/C112</f>
        <v>3745.3106774999997</v>
      </c>
      <c r="D113" s="108">
        <f>+C108/D112</f>
        <v>2496.8737849999998</v>
      </c>
      <c r="E113" s="138">
        <f>+C108/E112</f>
        <v>2140.1775299999999</v>
      </c>
      <c r="F113" s="121"/>
      <c r="G113" s="84"/>
    </row>
    <row r="114" spans="1:7" ht="15.6" customHeight="1" x14ac:dyDescent="0.25">
      <c r="A114" s="86"/>
      <c r="B114" s="112" t="s">
        <v>59</v>
      </c>
      <c r="C114" s="85"/>
      <c r="D114" s="85"/>
      <c r="E114" s="85"/>
      <c r="F114" s="85"/>
      <c r="G114" s="85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16"/>
  <sheetViews>
    <sheetView topLeftCell="B67" zoomScale="110" zoomScaleNormal="110" workbookViewId="0">
      <selection activeCell="H12" sqref="H11:H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4.85546875" style="1" customWidth="1"/>
    <col min="9" max="9" width="11.85546875" style="1" bestFit="1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1" t="s">
        <v>113</v>
      </c>
      <c r="D9" s="7"/>
      <c r="E9" s="160" t="s">
        <v>126</v>
      </c>
      <c r="F9" s="161"/>
      <c r="G9" s="8">
        <f>+D114</f>
        <v>3000</v>
      </c>
    </row>
    <row r="10" spans="1:7" ht="15" x14ac:dyDescent="0.25">
      <c r="A10" s="5"/>
      <c r="B10" s="147" t="s">
        <v>1</v>
      </c>
      <c r="C10" s="148" t="s">
        <v>125</v>
      </c>
      <c r="D10" s="7"/>
      <c r="E10" s="158" t="s">
        <v>2</v>
      </c>
      <c r="F10" s="159"/>
      <c r="G10" s="149" t="s">
        <v>136</v>
      </c>
    </row>
    <row r="11" spans="1:7" ht="18" customHeight="1" x14ac:dyDescent="0.25">
      <c r="A11" s="5"/>
      <c r="B11" s="147" t="s">
        <v>3</v>
      </c>
      <c r="C11" s="149" t="s">
        <v>115</v>
      </c>
      <c r="D11" s="7"/>
      <c r="E11" s="158" t="s">
        <v>114</v>
      </c>
      <c r="F11" s="159"/>
      <c r="G11" s="150">
        <v>5000</v>
      </c>
    </row>
    <row r="12" spans="1:7" ht="15" x14ac:dyDescent="0.25">
      <c r="A12" s="5"/>
      <c r="B12" s="147" t="s">
        <v>4</v>
      </c>
      <c r="C12" s="151" t="s">
        <v>61</v>
      </c>
      <c r="D12" s="7"/>
      <c r="E12" s="152" t="s">
        <v>5</v>
      </c>
      <c r="F12" s="153"/>
      <c r="G12" s="154">
        <f>+G11*G9</f>
        <v>15000000</v>
      </c>
    </row>
    <row r="13" spans="1:7" ht="23.25" x14ac:dyDescent="0.25">
      <c r="A13" s="5"/>
      <c r="B13" s="147" t="s">
        <v>6</v>
      </c>
      <c r="C13" s="149" t="s">
        <v>135</v>
      </c>
      <c r="D13" s="7"/>
      <c r="E13" s="158" t="s">
        <v>7</v>
      </c>
      <c r="F13" s="159"/>
      <c r="G13" s="151" t="s">
        <v>127</v>
      </c>
    </row>
    <row r="14" spans="1:7" ht="15" x14ac:dyDescent="0.25">
      <c r="A14" s="5"/>
      <c r="B14" s="147" t="s">
        <v>8</v>
      </c>
      <c r="C14" s="149" t="s">
        <v>60</v>
      </c>
      <c r="D14" s="7"/>
      <c r="E14" s="158" t="s">
        <v>9</v>
      </c>
      <c r="F14" s="159"/>
      <c r="G14" s="149" t="s">
        <v>62</v>
      </c>
    </row>
    <row r="15" spans="1:7" ht="25.5" customHeight="1" x14ac:dyDescent="0.25">
      <c r="A15" s="5"/>
      <c r="B15" s="147" t="s">
        <v>10</v>
      </c>
      <c r="C15" s="155">
        <v>44713</v>
      </c>
      <c r="D15" s="7"/>
      <c r="E15" s="162" t="s">
        <v>11</v>
      </c>
      <c r="F15" s="163"/>
      <c r="G15" s="151"/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8" ht="12" customHeight="1" x14ac:dyDescent="0.25">
      <c r="A17" s="19"/>
      <c r="B17" s="164" t="s">
        <v>96</v>
      </c>
      <c r="C17" s="165"/>
      <c r="D17" s="165"/>
      <c r="E17" s="165"/>
      <c r="F17" s="165"/>
      <c r="G17" s="165"/>
    </row>
    <row r="18" spans="1:8" ht="12" customHeight="1" x14ac:dyDescent="0.25">
      <c r="A18" s="2"/>
      <c r="B18" s="20"/>
      <c r="C18" s="21"/>
      <c r="D18" s="21"/>
      <c r="E18" s="21"/>
      <c r="F18" s="22"/>
      <c r="G18" s="22"/>
    </row>
    <row r="19" spans="1:8" ht="12" customHeight="1" x14ac:dyDescent="0.25">
      <c r="A19" s="5"/>
      <c r="B19" s="23" t="s">
        <v>12</v>
      </c>
      <c r="C19" s="24"/>
      <c r="D19" s="25"/>
      <c r="E19" s="25"/>
      <c r="F19" s="25"/>
      <c r="G19" s="25"/>
    </row>
    <row r="20" spans="1:8" ht="24" customHeight="1" x14ac:dyDescent="0.25">
      <c r="A20" s="19"/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6" t="s">
        <v>18</v>
      </c>
    </row>
    <row r="21" spans="1:8" ht="12.75" customHeight="1" x14ac:dyDescent="0.25">
      <c r="A21" s="19"/>
      <c r="B21" s="144" t="s">
        <v>63</v>
      </c>
      <c r="C21" s="27" t="s">
        <v>19</v>
      </c>
      <c r="D21" s="28">
        <f>7000*4*5/20000</f>
        <v>7</v>
      </c>
      <c r="E21" s="144" t="s">
        <v>116</v>
      </c>
      <c r="F21" s="13">
        <v>26000</v>
      </c>
      <c r="G21" s="13">
        <f>+F21*D21</f>
        <v>182000</v>
      </c>
    </row>
    <row r="22" spans="1:8" ht="12.75" customHeight="1" x14ac:dyDescent="0.25">
      <c r="A22" s="19"/>
      <c r="B22" s="144" t="s">
        <v>97</v>
      </c>
      <c r="C22" s="27" t="s">
        <v>19</v>
      </c>
      <c r="D22" s="28">
        <v>2</v>
      </c>
      <c r="E22" s="144" t="s">
        <v>98</v>
      </c>
      <c r="F22" s="13">
        <v>26000</v>
      </c>
      <c r="G22" s="13">
        <f>+F22*D22</f>
        <v>52000</v>
      </c>
    </row>
    <row r="23" spans="1:8" ht="12.75" customHeight="1" x14ac:dyDescent="0.25">
      <c r="A23" s="19"/>
      <c r="B23" s="144" t="s">
        <v>66</v>
      </c>
      <c r="C23" s="27" t="s">
        <v>117</v>
      </c>
      <c r="D23" s="28"/>
      <c r="E23" s="144"/>
      <c r="F23" s="13">
        <v>26000</v>
      </c>
      <c r="G23" s="13"/>
    </row>
    <row r="24" spans="1:8" ht="12.75" customHeight="1" x14ac:dyDescent="0.25">
      <c r="A24" s="19"/>
      <c r="B24" s="144" t="s">
        <v>64</v>
      </c>
      <c r="C24" s="27" t="s">
        <v>19</v>
      </c>
      <c r="D24" s="28">
        <v>3</v>
      </c>
      <c r="E24" s="144" t="s">
        <v>99</v>
      </c>
      <c r="F24" s="13">
        <v>26000</v>
      </c>
      <c r="G24" s="13">
        <f t="shared" ref="G24:G28" si="0">+F24*D24</f>
        <v>78000</v>
      </c>
    </row>
    <row r="25" spans="1:8" ht="12.75" customHeight="1" x14ac:dyDescent="0.25">
      <c r="A25" s="19"/>
      <c r="B25" s="144" t="s">
        <v>128</v>
      </c>
      <c r="C25" s="27" t="s">
        <v>19</v>
      </c>
      <c r="D25" s="28">
        <v>5</v>
      </c>
      <c r="E25" s="144" t="s">
        <v>129</v>
      </c>
      <c r="F25" s="13">
        <v>26000</v>
      </c>
      <c r="G25" s="13">
        <f t="shared" si="0"/>
        <v>130000</v>
      </c>
    </row>
    <row r="26" spans="1:8" ht="12.75" customHeight="1" x14ac:dyDescent="0.25">
      <c r="A26" s="19"/>
      <c r="B26" s="144" t="s">
        <v>65</v>
      </c>
      <c r="C26" s="27" t="s">
        <v>19</v>
      </c>
      <c r="D26" s="28">
        <f>500*5*2/100</f>
        <v>50</v>
      </c>
      <c r="E26" s="144" t="s">
        <v>130</v>
      </c>
      <c r="F26" s="13">
        <v>26000</v>
      </c>
      <c r="G26" s="13">
        <f t="shared" si="0"/>
        <v>1300000</v>
      </c>
    </row>
    <row r="27" spans="1:8" ht="12.75" customHeight="1" x14ac:dyDescent="0.25">
      <c r="A27" s="19"/>
      <c r="B27" s="134" t="s">
        <v>82</v>
      </c>
      <c r="C27" s="27" t="s">
        <v>19</v>
      </c>
      <c r="D27" s="28">
        <v>30</v>
      </c>
      <c r="E27" s="144" t="s">
        <v>99</v>
      </c>
      <c r="F27" s="13">
        <v>26000</v>
      </c>
      <c r="G27" s="13">
        <f t="shared" si="0"/>
        <v>780000</v>
      </c>
    </row>
    <row r="28" spans="1:8" ht="12.75" customHeight="1" x14ac:dyDescent="0.25">
      <c r="A28" s="19"/>
      <c r="B28" s="134" t="s">
        <v>83</v>
      </c>
      <c r="C28" s="27" t="s">
        <v>19</v>
      </c>
      <c r="D28" s="28">
        <f>30000*5/20000</f>
        <v>7.5</v>
      </c>
      <c r="E28" s="144" t="s">
        <v>129</v>
      </c>
      <c r="F28" s="13">
        <v>40000</v>
      </c>
      <c r="G28" s="13">
        <f t="shared" si="0"/>
        <v>300000</v>
      </c>
    </row>
    <row r="29" spans="1:8" ht="12.75" customHeight="1" x14ac:dyDescent="0.25">
      <c r="A29" s="19"/>
      <c r="B29" s="134"/>
      <c r="C29" s="27"/>
      <c r="D29" s="28"/>
      <c r="E29" s="144"/>
      <c r="F29" s="13"/>
      <c r="G29" s="13"/>
    </row>
    <row r="30" spans="1:8" ht="12.75" customHeight="1" x14ac:dyDescent="0.25">
      <c r="A30" s="19"/>
      <c r="B30" s="29" t="s">
        <v>20</v>
      </c>
      <c r="C30" s="30"/>
      <c r="D30" s="30"/>
      <c r="E30" s="30"/>
      <c r="F30" s="31"/>
      <c r="G30" s="32">
        <f>SUM(G24:G29)</f>
        <v>2588000</v>
      </c>
      <c r="H30" s="140"/>
    </row>
    <row r="31" spans="1:8" ht="12" customHeight="1" x14ac:dyDescent="0.25">
      <c r="A31" s="2"/>
      <c r="B31" s="20"/>
      <c r="C31" s="22"/>
      <c r="D31" s="22"/>
      <c r="E31" s="22"/>
      <c r="F31" s="33"/>
      <c r="G31" s="33"/>
    </row>
    <row r="32" spans="1:8" ht="12" customHeight="1" x14ac:dyDescent="0.25">
      <c r="A32" s="5"/>
      <c r="B32" s="34" t="s">
        <v>21</v>
      </c>
      <c r="C32" s="35"/>
      <c r="D32" s="36"/>
      <c r="E32" s="36"/>
      <c r="F32" s="37"/>
      <c r="G32" s="37"/>
    </row>
    <row r="33" spans="1:11" ht="24" customHeight="1" x14ac:dyDescent="0.25">
      <c r="A33" s="5"/>
      <c r="B33" s="38" t="s">
        <v>13</v>
      </c>
      <c r="C33" s="39" t="s">
        <v>14</v>
      </c>
      <c r="D33" s="39" t="s">
        <v>15</v>
      </c>
      <c r="E33" s="38" t="s">
        <v>16</v>
      </c>
      <c r="F33" s="39" t="s">
        <v>17</v>
      </c>
      <c r="G33" s="38" t="s">
        <v>18</v>
      </c>
    </row>
    <row r="34" spans="1:11" ht="12" customHeight="1" x14ac:dyDescent="0.25">
      <c r="A34" s="5"/>
      <c r="B34" s="40"/>
      <c r="C34" s="41"/>
      <c r="D34" s="41"/>
      <c r="E34" s="41"/>
      <c r="F34" s="40"/>
      <c r="G34" s="40"/>
    </row>
    <row r="35" spans="1:11" ht="12" customHeight="1" x14ac:dyDescent="0.25">
      <c r="A35" s="5"/>
      <c r="B35" s="42" t="s">
        <v>22</v>
      </c>
      <c r="C35" s="43"/>
      <c r="D35" s="43"/>
      <c r="E35" s="43"/>
      <c r="F35" s="44"/>
      <c r="G35" s="44"/>
    </row>
    <row r="36" spans="1:11" ht="12" customHeight="1" x14ac:dyDescent="0.25">
      <c r="A36" s="2"/>
      <c r="B36" s="45"/>
      <c r="C36" s="46"/>
      <c r="D36" s="46"/>
      <c r="E36" s="46"/>
      <c r="F36" s="47"/>
      <c r="G36" s="47"/>
    </row>
    <row r="37" spans="1:11" ht="12" customHeight="1" x14ac:dyDescent="0.25">
      <c r="A37" s="5"/>
      <c r="B37" s="34" t="s">
        <v>23</v>
      </c>
      <c r="C37" s="35"/>
      <c r="D37" s="36"/>
      <c r="E37" s="36"/>
      <c r="F37" s="37"/>
      <c r="G37" s="37"/>
    </row>
    <row r="38" spans="1:11" ht="24" customHeight="1" x14ac:dyDescent="0.25">
      <c r="A38" s="5"/>
      <c r="B38" s="48" t="s">
        <v>13</v>
      </c>
      <c r="C38" s="48" t="s">
        <v>14</v>
      </c>
      <c r="D38" s="48" t="s">
        <v>15</v>
      </c>
      <c r="E38" s="48" t="s">
        <v>16</v>
      </c>
      <c r="F38" s="49" t="s">
        <v>17</v>
      </c>
      <c r="G38" s="48" t="s">
        <v>18</v>
      </c>
    </row>
    <row r="39" spans="1:11" ht="12.75" customHeight="1" x14ac:dyDescent="0.25">
      <c r="A39" s="19"/>
      <c r="B39" s="144" t="s">
        <v>67</v>
      </c>
      <c r="C39" s="27" t="s">
        <v>139</v>
      </c>
      <c r="D39" s="28">
        <v>1</v>
      </c>
      <c r="E39" s="10" t="s">
        <v>118</v>
      </c>
      <c r="F39" s="13">
        <v>180000</v>
      </c>
      <c r="G39" s="13">
        <f>+F39*D39</f>
        <v>180000</v>
      </c>
    </row>
    <row r="40" spans="1:11" ht="12.75" customHeight="1" x14ac:dyDescent="0.25">
      <c r="A40" s="19"/>
      <c r="B40" s="144"/>
      <c r="C40" s="27"/>
      <c r="D40" s="28"/>
      <c r="E40" s="10"/>
      <c r="F40" s="13"/>
      <c r="G40" s="13"/>
    </row>
    <row r="41" spans="1:11" ht="12.75" customHeight="1" x14ac:dyDescent="0.25">
      <c r="A41" s="5"/>
      <c r="B41" s="50" t="s">
        <v>24</v>
      </c>
      <c r="C41" s="51"/>
      <c r="D41" s="51"/>
      <c r="E41" s="51"/>
      <c r="F41" s="52"/>
      <c r="G41" s="53">
        <f>SUM(G39:G40)</f>
        <v>180000</v>
      </c>
    </row>
    <row r="42" spans="1:11" ht="12" customHeight="1" x14ac:dyDescent="0.25">
      <c r="A42" s="2"/>
      <c r="B42" s="45"/>
      <c r="C42" s="46"/>
      <c r="D42" s="46"/>
      <c r="E42" s="46"/>
      <c r="F42" s="47"/>
      <c r="G42" s="47"/>
    </row>
    <row r="43" spans="1:11" ht="12" customHeight="1" x14ac:dyDescent="0.25">
      <c r="A43" s="5"/>
      <c r="B43" s="34" t="s">
        <v>25</v>
      </c>
      <c r="C43" s="35"/>
      <c r="D43" s="36"/>
      <c r="E43" s="36"/>
      <c r="F43" s="37"/>
      <c r="G43" s="37"/>
    </row>
    <row r="44" spans="1:11" ht="24" customHeight="1" x14ac:dyDescent="0.25">
      <c r="A44" s="5"/>
      <c r="B44" s="49" t="s">
        <v>26</v>
      </c>
      <c r="C44" s="49" t="s">
        <v>27</v>
      </c>
      <c r="D44" s="49" t="s">
        <v>28</v>
      </c>
      <c r="E44" s="49" t="s">
        <v>16</v>
      </c>
      <c r="F44" s="49" t="s">
        <v>17</v>
      </c>
      <c r="G44" s="49" t="s">
        <v>18</v>
      </c>
      <c r="K44" s="127"/>
    </row>
    <row r="45" spans="1:11" ht="12.75" customHeight="1" x14ac:dyDescent="0.25">
      <c r="A45" s="19"/>
      <c r="B45" s="145" t="s">
        <v>138</v>
      </c>
      <c r="C45" s="58" t="s">
        <v>69</v>
      </c>
      <c r="D45" s="146">
        <f>1000*4*5</f>
        <v>20000</v>
      </c>
      <c r="E45" s="58" t="s">
        <v>100</v>
      </c>
      <c r="F45" s="56">
        <f>LISIANTHUS!F45*'Al 22.06.22'!$I$45</f>
        <v>111.91949999999999</v>
      </c>
      <c r="G45" s="56">
        <f>+F45*D45</f>
        <v>2238389.9999999995</v>
      </c>
      <c r="I45" s="1">
        <v>1.0449999999999999</v>
      </c>
    </row>
    <row r="46" spans="1:11" ht="12.75" customHeight="1" x14ac:dyDescent="0.25">
      <c r="A46" s="19"/>
      <c r="B46" s="57" t="s">
        <v>29</v>
      </c>
      <c r="C46" s="58"/>
      <c r="D46" s="146"/>
      <c r="E46" s="58"/>
      <c r="F46" s="56">
        <f>LISIANTHUS!F46*'Al 22.06.22'!$I$45</f>
        <v>0</v>
      </c>
      <c r="G46" s="56"/>
    </row>
    <row r="47" spans="1:11" ht="12.75" customHeight="1" x14ac:dyDescent="0.25">
      <c r="A47" s="19"/>
      <c r="B47" s="145" t="s">
        <v>70</v>
      </c>
      <c r="C47" s="58" t="s">
        <v>30</v>
      </c>
      <c r="D47" s="146">
        <v>50</v>
      </c>
      <c r="E47" s="58" t="s">
        <v>68</v>
      </c>
      <c r="F47" s="56">
        <f>LISIANTHUS!F47*'Al 22.06.22'!$I$45</f>
        <v>1964.6</v>
      </c>
      <c r="G47" s="56">
        <f>+F47*D47</f>
        <v>98230</v>
      </c>
    </row>
    <row r="48" spans="1:11" ht="12.75" customHeight="1" x14ac:dyDescent="0.25">
      <c r="A48" s="19"/>
      <c r="B48" s="145" t="s">
        <v>71</v>
      </c>
      <c r="C48" s="58" t="s">
        <v>30</v>
      </c>
      <c r="D48" s="146">
        <v>25</v>
      </c>
      <c r="E48" s="58" t="s">
        <v>68</v>
      </c>
      <c r="F48" s="56">
        <f>LISIANTHUS!F48*'Al 22.06.22'!$I$45</f>
        <v>1045</v>
      </c>
      <c r="G48" s="56">
        <f>+F48*D48</f>
        <v>26125</v>
      </c>
    </row>
    <row r="49" spans="1:7" ht="12.75" customHeight="1" x14ac:dyDescent="0.25">
      <c r="A49" s="19"/>
      <c r="B49" s="145" t="s">
        <v>72</v>
      </c>
      <c r="C49" s="54" t="s">
        <v>30</v>
      </c>
      <c r="D49" s="55">
        <v>25</v>
      </c>
      <c r="E49" s="54" t="s">
        <v>68</v>
      </c>
      <c r="F49" s="56">
        <f>LISIANTHUS!F49*'Al 22.06.22'!$I$45</f>
        <v>752.4</v>
      </c>
      <c r="G49" s="56">
        <f>(D49*F49)</f>
        <v>18810</v>
      </c>
    </row>
    <row r="50" spans="1:7" ht="12.75" customHeight="1" x14ac:dyDescent="0.25">
      <c r="A50" s="19"/>
      <c r="B50" s="145" t="s">
        <v>73</v>
      </c>
      <c r="C50" s="54" t="s">
        <v>31</v>
      </c>
      <c r="D50" s="55">
        <v>25</v>
      </c>
      <c r="E50" s="54" t="s">
        <v>68</v>
      </c>
      <c r="F50" s="56">
        <f>LISIANTHUS!F50*'Al 22.06.22'!$I$45</f>
        <v>1880.9999999999998</v>
      </c>
      <c r="G50" s="56">
        <f>(D50*F50)</f>
        <v>47024.999999999993</v>
      </c>
    </row>
    <row r="51" spans="1:7" ht="12.75" customHeight="1" x14ac:dyDescent="0.25">
      <c r="A51" s="19"/>
      <c r="B51" s="145" t="s">
        <v>74</v>
      </c>
      <c r="C51" s="54" t="s">
        <v>30</v>
      </c>
      <c r="D51" s="55">
        <v>50</v>
      </c>
      <c r="E51" s="54" t="s">
        <v>68</v>
      </c>
      <c r="F51" s="56">
        <f>LISIANTHUS!F51*'Al 22.06.22'!$I$45</f>
        <v>924.82499999999993</v>
      </c>
      <c r="G51" s="56">
        <f>+F51*D51</f>
        <v>46241.25</v>
      </c>
    </row>
    <row r="52" spans="1:7" ht="12.75" customHeight="1" x14ac:dyDescent="0.25">
      <c r="A52" s="19"/>
      <c r="B52" s="145" t="s">
        <v>109</v>
      </c>
      <c r="C52" s="54" t="s">
        <v>110</v>
      </c>
      <c r="D52" s="55">
        <v>1</v>
      </c>
      <c r="E52" s="54" t="s">
        <v>68</v>
      </c>
      <c r="F52" s="56">
        <f>LISIANTHUS!F52*'Al 22.06.22'!$I$45</f>
        <v>42280.7</v>
      </c>
      <c r="G52" s="56">
        <f>+F52*D52</f>
        <v>42280.7</v>
      </c>
    </row>
    <row r="53" spans="1:7" ht="12.75" customHeight="1" x14ac:dyDescent="0.25">
      <c r="A53" s="19"/>
      <c r="B53" s="145"/>
      <c r="C53" s="54"/>
      <c r="D53" s="55"/>
      <c r="E53" s="54"/>
      <c r="F53" s="56">
        <f>LISIANTHUS!F53*'Al 22.06.22'!$I$45</f>
        <v>0</v>
      </c>
      <c r="G53" s="56"/>
    </row>
    <row r="54" spans="1:7" ht="12.75" customHeight="1" x14ac:dyDescent="0.25">
      <c r="A54" s="19"/>
      <c r="B54" s="57" t="s">
        <v>32</v>
      </c>
      <c r="C54" s="58"/>
      <c r="D54" s="146"/>
      <c r="E54" s="58"/>
      <c r="F54" s="56">
        <f>LISIANTHUS!F54*'Al 22.06.22'!$I$45</f>
        <v>0</v>
      </c>
      <c r="G54" s="56"/>
    </row>
    <row r="55" spans="1:7" ht="12.75" customHeight="1" x14ac:dyDescent="0.25">
      <c r="A55" s="19"/>
      <c r="B55" s="145" t="s">
        <v>75</v>
      </c>
      <c r="C55" s="54" t="s">
        <v>76</v>
      </c>
      <c r="D55" s="55">
        <v>1</v>
      </c>
      <c r="E55" s="54" t="s">
        <v>68</v>
      </c>
      <c r="F55" s="56">
        <f>LISIANTHUS!F55*'Al 22.06.22'!$I$45</f>
        <v>19332.5</v>
      </c>
      <c r="G55" s="56">
        <f>+F55*D55</f>
        <v>19332.5</v>
      </c>
    </row>
    <row r="56" spans="1:7" ht="12.75" customHeight="1" x14ac:dyDescent="0.25">
      <c r="A56" s="19"/>
      <c r="B56" s="145" t="s">
        <v>77</v>
      </c>
      <c r="C56" s="54" t="s">
        <v>78</v>
      </c>
      <c r="D56" s="55">
        <v>2</v>
      </c>
      <c r="E56" s="54" t="s">
        <v>68</v>
      </c>
      <c r="F56" s="56">
        <f>LISIANTHUS!F56*'Al 22.06.22'!$I$45</f>
        <v>18130.75</v>
      </c>
      <c r="G56" s="56">
        <f>+F56*D56</f>
        <v>36261.5</v>
      </c>
    </row>
    <row r="57" spans="1:7" ht="12.75" customHeight="1" x14ac:dyDescent="0.25">
      <c r="A57" s="19"/>
      <c r="B57" s="57" t="s">
        <v>91</v>
      </c>
      <c r="C57" s="58"/>
      <c r="D57" s="146"/>
      <c r="E57" s="58"/>
      <c r="F57" s="56">
        <f>LISIANTHUS!F57*'Al 22.06.22'!$I$45</f>
        <v>0</v>
      </c>
      <c r="G57" s="56"/>
    </row>
    <row r="58" spans="1:7" ht="12.75" customHeight="1" x14ac:dyDescent="0.25">
      <c r="A58" s="19"/>
      <c r="B58" s="145" t="s">
        <v>87</v>
      </c>
      <c r="C58" s="54" t="s">
        <v>88</v>
      </c>
      <c r="D58" s="55">
        <v>0.5</v>
      </c>
      <c r="E58" s="54" t="s">
        <v>68</v>
      </c>
      <c r="F58" s="56">
        <f>LISIANTHUS!F58*'Al 22.06.22'!$I$45</f>
        <v>118148.745</v>
      </c>
      <c r="G58" s="139">
        <f t="shared" ref="G58:G63" si="1">+F58*D58</f>
        <v>59074.372499999998</v>
      </c>
    </row>
    <row r="59" spans="1:7" ht="12.75" customHeight="1" x14ac:dyDescent="0.25">
      <c r="A59" s="19"/>
      <c r="B59" s="145" t="s">
        <v>79</v>
      </c>
      <c r="C59" s="54" t="s">
        <v>88</v>
      </c>
      <c r="D59" s="55">
        <v>1</v>
      </c>
      <c r="E59" s="54" t="s">
        <v>68</v>
      </c>
      <c r="F59" s="56">
        <f>LISIANTHUS!F59*'Al 22.06.22'!$I$45</f>
        <v>32581.01</v>
      </c>
      <c r="G59" s="139">
        <f t="shared" si="1"/>
        <v>32581.01</v>
      </c>
    </row>
    <row r="60" spans="1:7" ht="12.75" customHeight="1" x14ac:dyDescent="0.25">
      <c r="A60" s="19"/>
      <c r="B60" s="145" t="s">
        <v>89</v>
      </c>
      <c r="C60" s="54" t="s">
        <v>90</v>
      </c>
      <c r="D60" s="55">
        <v>1</v>
      </c>
      <c r="E60" s="54" t="s">
        <v>68</v>
      </c>
      <c r="F60" s="56">
        <f>LISIANTHUS!F60*'Al 22.06.22'!$I$45</f>
        <v>25132.25</v>
      </c>
      <c r="G60" s="139">
        <f t="shared" si="1"/>
        <v>25132.25</v>
      </c>
    </row>
    <row r="61" spans="1:7" ht="12.75" customHeight="1" x14ac:dyDescent="0.25">
      <c r="A61" s="19"/>
      <c r="B61" s="145" t="s">
        <v>119</v>
      </c>
      <c r="C61" s="54" t="s">
        <v>120</v>
      </c>
      <c r="D61" s="55">
        <v>1</v>
      </c>
      <c r="E61" s="54" t="s">
        <v>121</v>
      </c>
      <c r="F61" s="56">
        <f>LISIANTHUS!F61*'Al 22.06.22'!$I$45</f>
        <v>250277.49999999997</v>
      </c>
      <c r="G61" s="139">
        <f t="shared" si="1"/>
        <v>250277.49999999997</v>
      </c>
    </row>
    <row r="62" spans="1:7" ht="12.75" customHeight="1" x14ac:dyDescent="0.25">
      <c r="A62" s="19"/>
      <c r="B62" s="145" t="s">
        <v>104</v>
      </c>
      <c r="C62" s="54" t="s">
        <v>88</v>
      </c>
      <c r="D62" s="55">
        <v>0.5</v>
      </c>
      <c r="E62" s="54" t="s">
        <v>68</v>
      </c>
      <c r="F62" s="56">
        <f>LISIANTHUS!F62*'Al 22.06.22'!$I$45</f>
        <v>59015.329999999994</v>
      </c>
      <c r="G62" s="139">
        <f t="shared" si="1"/>
        <v>29507.664999999997</v>
      </c>
    </row>
    <row r="63" spans="1:7" ht="12.75" customHeight="1" x14ac:dyDescent="0.25">
      <c r="A63" s="19"/>
      <c r="B63" s="145" t="s">
        <v>108</v>
      </c>
      <c r="C63" s="54" t="s">
        <v>88</v>
      </c>
      <c r="D63" s="55">
        <v>1</v>
      </c>
      <c r="E63" s="54" t="s">
        <v>68</v>
      </c>
      <c r="F63" s="56">
        <f>LISIANTHUS!F63*'Al 22.06.22'!$I$45</f>
        <v>22572</v>
      </c>
      <c r="G63" s="139">
        <f t="shared" si="1"/>
        <v>22572</v>
      </c>
    </row>
    <row r="64" spans="1:7" ht="12.75" customHeight="1" x14ac:dyDescent="0.25">
      <c r="A64" s="19"/>
      <c r="B64" s="145" t="s">
        <v>122</v>
      </c>
      <c r="C64" s="54" t="s">
        <v>120</v>
      </c>
      <c r="D64" s="55">
        <v>1</v>
      </c>
      <c r="E64" s="54" t="s">
        <v>121</v>
      </c>
      <c r="F64" s="56">
        <f>LISIANTHUS!F64*'Al 22.06.22'!$I$45</f>
        <v>47547.5</v>
      </c>
      <c r="G64" s="139">
        <f>+F64+D64</f>
        <v>47548.5</v>
      </c>
    </row>
    <row r="65" spans="1:7" ht="12.75" customHeight="1" x14ac:dyDescent="0.25">
      <c r="A65" s="19"/>
      <c r="B65" s="145" t="s">
        <v>133</v>
      </c>
      <c r="C65" s="54" t="s">
        <v>134</v>
      </c>
      <c r="D65" s="55">
        <f>120*30*4*5/1000/20</f>
        <v>3.6</v>
      </c>
      <c r="E65" s="54" t="s">
        <v>118</v>
      </c>
      <c r="F65" s="56">
        <f>LISIANTHUS!F65*'Al 22.06.22'!$I$45</f>
        <v>85680.595000000001</v>
      </c>
      <c r="G65" s="139">
        <f>+F65*D65</f>
        <v>308450.14199999999</v>
      </c>
    </row>
    <row r="66" spans="1:7" ht="12.75" customHeight="1" x14ac:dyDescent="0.25">
      <c r="A66" s="19"/>
      <c r="B66" s="57" t="s">
        <v>34</v>
      </c>
      <c r="C66" s="54"/>
      <c r="D66" s="55"/>
      <c r="E66" s="54"/>
      <c r="F66" s="56">
        <f>LISIANTHUS!F66*'Al 22.06.22'!$I$45</f>
        <v>0</v>
      </c>
      <c r="G66" s="55"/>
    </row>
    <row r="67" spans="1:7" ht="12.75" customHeight="1" x14ac:dyDescent="0.25">
      <c r="A67" s="19"/>
      <c r="B67" s="145" t="s">
        <v>131</v>
      </c>
      <c r="C67" s="54" t="s">
        <v>132</v>
      </c>
      <c r="D67" s="55">
        <v>5</v>
      </c>
      <c r="E67" s="54" t="s">
        <v>118</v>
      </c>
      <c r="F67" s="56">
        <f>LISIANTHUS!F67*'Al 22.06.22'!$I$45</f>
        <v>26125</v>
      </c>
      <c r="G67" s="139">
        <f>+F67*D67</f>
        <v>130625</v>
      </c>
    </row>
    <row r="68" spans="1:7" ht="12.75" customHeight="1" x14ac:dyDescent="0.25">
      <c r="A68" s="19"/>
      <c r="B68" s="145" t="s">
        <v>107</v>
      </c>
      <c r="C68" s="54" t="s">
        <v>88</v>
      </c>
      <c r="D68" s="55">
        <v>1</v>
      </c>
      <c r="E68" s="54" t="s">
        <v>68</v>
      </c>
      <c r="F68" s="56">
        <f>LISIANTHUS!F68*'Al 22.06.22'!$I$45</f>
        <v>37042.114999999998</v>
      </c>
      <c r="G68" s="139">
        <f t="shared" ref="G68:G76" si="2">+F68*D68</f>
        <v>37042.114999999998</v>
      </c>
    </row>
    <row r="69" spans="1:7" ht="12.75" customHeight="1" x14ac:dyDescent="0.25">
      <c r="A69" s="19"/>
      <c r="B69" s="145" t="s">
        <v>106</v>
      </c>
      <c r="C69" s="54" t="s">
        <v>88</v>
      </c>
      <c r="D69" s="55">
        <v>2</v>
      </c>
      <c r="E69" s="54" t="s">
        <v>68</v>
      </c>
      <c r="F69" s="56">
        <f>LISIANTHUS!F69*'Al 22.06.22'!$I$45</f>
        <v>21945</v>
      </c>
      <c r="G69" s="56">
        <f t="shared" si="2"/>
        <v>43890</v>
      </c>
    </row>
    <row r="70" spans="1:7" ht="12.75" customHeight="1" x14ac:dyDescent="0.25">
      <c r="A70" s="19"/>
      <c r="B70" s="145" t="s">
        <v>105</v>
      </c>
      <c r="C70" s="54" t="s">
        <v>78</v>
      </c>
      <c r="D70" s="55">
        <v>2</v>
      </c>
      <c r="E70" s="54" t="s">
        <v>68</v>
      </c>
      <c r="F70" s="56">
        <f>LISIANTHUS!F70*'Al 22.06.22'!$I$45</f>
        <v>22822.799999999999</v>
      </c>
      <c r="G70" s="56">
        <f t="shared" si="2"/>
        <v>45645.599999999999</v>
      </c>
    </row>
    <row r="71" spans="1:7" ht="12.75" customHeight="1" x14ac:dyDescent="0.25">
      <c r="A71" s="19"/>
      <c r="B71" s="145" t="s">
        <v>80</v>
      </c>
      <c r="C71" s="54" t="s">
        <v>93</v>
      </c>
      <c r="D71" s="55">
        <v>1</v>
      </c>
      <c r="E71" s="54" t="s">
        <v>68</v>
      </c>
      <c r="F71" s="56">
        <f>LISIANTHUS!F71*'Al 22.06.22'!$I$45</f>
        <v>49115</v>
      </c>
      <c r="G71" s="56">
        <f t="shared" si="2"/>
        <v>49115</v>
      </c>
    </row>
    <row r="72" spans="1:7" ht="12.75" customHeight="1" x14ac:dyDescent="0.25">
      <c r="A72" s="19"/>
      <c r="B72" s="145" t="s">
        <v>112</v>
      </c>
      <c r="C72" s="54" t="s">
        <v>111</v>
      </c>
      <c r="D72" s="55">
        <v>1.5</v>
      </c>
      <c r="E72" s="54" t="s">
        <v>85</v>
      </c>
      <c r="F72" s="56">
        <f>LISIANTHUS!F72*'Al 22.06.22'!$I$45</f>
        <v>313500</v>
      </c>
      <c r="G72" s="56">
        <f t="shared" si="2"/>
        <v>470250</v>
      </c>
    </row>
    <row r="73" spans="1:7" ht="12.75" customHeight="1" x14ac:dyDescent="0.25">
      <c r="A73" s="19"/>
      <c r="B73" s="145" t="s">
        <v>84</v>
      </c>
      <c r="C73" s="54" t="s">
        <v>86</v>
      </c>
      <c r="D73" s="55">
        <v>0.5</v>
      </c>
      <c r="E73" s="54" t="s">
        <v>85</v>
      </c>
      <c r="F73" s="56">
        <f>LISIANTHUS!F73*'Al 22.06.22'!$I$45</f>
        <v>33440</v>
      </c>
      <c r="G73" s="56">
        <f t="shared" si="2"/>
        <v>16720</v>
      </c>
    </row>
    <row r="74" spans="1:7" ht="12.75" customHeight="1" x14ac:dyDescent="0.25">
      <c r="A74" s="19"/>
      <c r="B74" s="135" t="s">
        <v>94</v>
      </c>
      <c r="C74" s="136" t="s">
        <v>95</v>
      </c>
      <c r="D74" s="137">
        <f>32*4*4*5</f>
        <v>2560</v>
      </c>
      <c r="E74" s="136" t="s">
        <v>85</v>
      </c>
      <c r="F74" s="56">
        <f>LISIANTHUS!F74*'Al 22.06.22'!$I$45</f>
        <v>74.194999999999993</v>
      </c>
      <c r="G74" s="132">
        <f t="shared" si="2"/>
        <v>189939.19999999998</v>
      </c>
    </row>
    <row r="75" spans="1:7" ht="12.75" customHeight="1" x14ac:dyDescent="0.25">
      <c r="A75" s="19"/>
      <c r="B75" s="135" t="s">
        <v>102</v>
      </c>
      <c r="C75" s="136" t="s">
        <v>103</v>
      </c>
      <c r="D75" s="137">
        <v>1</v>
      </c>
      <c r="E75" s="136" t="s">
        <v>68</v>
      </c>
      <c r="F75" s="56">
        <f>LISIANTHUS!F75*'Al 22.06.22'!$I$45</f>
        <v>92340.37999999999</v>
      </c>
      <c r="G75" s="132">
        <f t="shared" si="2"/>
        <v>92340.37999999999</v>
      </c>
    </row>
    <row r="76" spans="1:7" ht="12.75" customHeight="1" x14ac:dyDescent="0.25">
      <c r="A76" s="19"/>
      <c r="B76" s="59" t="s">
        <v>101</v>
      </c>
      <c r="C76" s="60" t="s">
        <v>92</v>
      </c>
      <c r="D76" s="61">
        <v>12</v>
      </c>
      <c r="E76" s="60" t="s">
        <v>68</v>
      </c>
      <c r="F76" s="56">
        <f>LISIANTHUS!F76*'Al 22.06.22'!$I$45</f>
        <v>19593.75</v>
      </c>
      <c r="G76" s="62">
        <f t="shared" si="2"/>
        <v>235125</v>
      </c>
    </row>
    <row r="77" spans="1:7" ht="13.5" customHeight="1" x14ac:dyDescent="0.25">
      <c r="A77" s="5"/>
      <c r="B77" s="63" t="s">
        <v>33</v>
      </c>
      <c r="C77" s="64"/>
      <c r="D77" s="64"/>
      <c r="E77" s="64"/>
      <c r="F77" s="65"/>
      <c r="G77" s="66">
        <f>SUM(G45:G76)</f>
        <v>4658531.6844999995</v>
      </c>
    </row>
    <row r="78" spans="1:7" ht="12" customHeight="1" x14ac:dyDescent="0.25">
      <c r="A78" s="2"/>
      <c r="B78" s="45"/>
      <c r="C78" s="46"/>
      <c r="D78" s="46"/>
      <c r="E78" s="67"/>
      <c r="F78" s="47"/>
      <c r="G78" s="47"/>
    </row>
    <row r="79" spans="1:7" ht="12" customHeight="1" x14ac:dyDescent="0.25">
      <c r="A79" s="133" t="s">
        <v>81</v>
      </c>
      <c r="B79" s="45"/>
      <c r="C79" s="46"/>
      <c r="D79" s="46"/>
      <c r="E79" s="67"/>
      <c r="F79" s="47"/>
      <c r="G79" s="47"/>
    </row>
    <row r="80" spans="1:7" ht="12" customHeight="1" x14ac:dyDescent="0.25">
      <c r="A80" s="5"/>
      <c r="B80" s="34" t="s">
        <v>34</v>
      </c>
      <c r="C80" s="35"/>
      <c r="D80" s="36"/>
      <c r="E80" s="36"/>
      <c r="F80" s="37"/>
      <c r="G80" s="37"/>
    </row>
    <row r="81" spans="1:9" ht="24" customHeight="1" x14ac:dyDescent="0.25">
      <c r="A81" s="5"/>
      <c r="B81" s="48" t="s">
        <v>35</v>
      </c>
      <c r="C81" s="49" t="s">
        <v>27</v>
      </c>
      <c r="D81" s="49" t="s">
        <v>28</v>
      </c>
      <c r="E81" s="48" t="s">
        <v>16</v>
      </c>
      <c r="F81" s="49" t="s">
        <v>17</v>
      </c>
      <c r="G81" s="48" t="s">
        <v>18</v>
      </c>
    </row>
    <row r="82" spans="1:9" ht="12.75" customHeight="1" x14ac:dyDescent="0.25">
      <c r="A82" s="19"/>
      <c r="B82" s="144"/>
      <c r="C82" s="54"/>
      <c r="D82" s="56"/>
      <c r="E82" s="27"/>
      <c r="F82" s="68"/>
      <c r="G82" s="56"/>
    </row>
    <row r="83" spans="1:9" ht="12.75" customHeight="1" x14ac:dyDescent="0.25">
      <c r="A83" s="19"/>
      <c r="B83" s="144"/>
      <c r="C83" s="54"/>
      <c r="D83" s="56"/>
      <c r="E83" s="27"/>
      <c r="F83" s="68"/>
      <c r="G83" s="56"/>
    </row>
    <row r="84" spans="1:9" ht="12.75" customHeight="1" x14ac:dyDescent="0.25">
      <c r="A84" s="19"/>
      <c r="B84" s="144"/>
      <c r="C84" s="54"/>
      <c r="D84" s="56"/>
      <c r="E84" s="27"/>
      <c r="F84" s="68"/>
      <c r="G84" s="56"/>
    </row>
    <row r="85" spans="1:9" ht="13.5" customHeight="1" x14ac:dyDescent="0.25">
      <c r="A85" s="5"/>
      <c r="B85" s="69" t="s">
        <v>36</v>
      </c>
      <c r="C85" s="70"/>
      <c r="D85" s="70"/>
      <c r="E85" s="70"/>
      <c r="F85" s="71"/>
      <c r="G85" s="72">
        <f>SUM(G84)</f>
        <v>0</v>
      </c>
    </row>
    <row r="86" spans="1:9" ht="12" customHeight="1" x14ac:dyDescent="0.25">
      <c r="A86" s="2"/>
      <c r="B86" s="89"/>
      <c r="C86" s="89"/>
      <c r="D86" s="89"/>
      <c r="E86" s="89"/>
      <c r="F86" s="90"/>
      <c r="G86" s="90"/>
    </row>
    <row r="87" spans="1:9" ht="12" customHeight="1" x14ac:dyDescent="0.25">
      <c r="A87" s="86"/>
      <c r="B87" s="91" t="s">
        <v>37</v>
      </c>
      <c r="C87" s="92"/>
      <c r="D87" s="92"/>
      <c r="E87" s="92"/>
      <c r="F87" s="92"/>
      <c r="G87" s="93">
        <f>G30+G41+G77+G85</f>
        <v>7426531.6844999995</v>
      </c>
    </row>
    <row r="88" spans="1:9" ht="12" customHeight="1" x14ac:dyDescent="0.25">
      <c r="A88" s="86"/>
      <c r="B88" s="94" t="s">
        <v>38</v>
      </c>
      <c r="C88" s="74"/>
      <c r="D88" s="74"/>
      <c r="E88" s="74"/>
      <c r="F88" s="74"/>
      <c r="G88" s="95">
        <f>G87*0.05</f>
        <v>371326.584225</v>
      </c>
    </row>
    <row r="89" spans="1:9" ht="12" customHeight="1" x14ac:dyDescent="0.25">
      <c r="A89" s="86"/>
      <c r="B89" s="96" t="s">
        <v>39</v>
      </c>
      <c r="C89" s="73"/>
      <c r="D89" s="73"/>
      <c r="E89" s="73"/>
      <c r="F89" s="73"/>
      <c r="G89" s="97">
        <f>G88+G87</f>
        <v>7797858.2687249994</v>
      </c>
    </row>
    <row r="90" spans="1:9" ht="12" customHeight="1" x14ac:dyDescent="0.25">
      <c r="A90" s="86"/>
      <c r="B90" s="94" t="s">
        <v>40</v>
      </c>
      <c r="C90" s="74"/>
      <c r="D90" s="74"/>
      <c r="E90" s="74"/>
      <c r="F90" s="74"/>
      <c r="G90" s="95">
        <f>G12</f>
        <v>15000000</v>
      </c>
    </row>
    <row r="91" spans="1:9" ht="12" customHeight="1" x14ac:dyDescent="0.25">
      <c r="A91" s="86"/>
      <c r="B91" s="98" t="s">
        <v>41</v>
      </c>
      <c r="C91" s="99"/>
      <c r="D91" s="99"/>
      <c r="E91" s="99"/>
      <c r="F91" s="99"/>
      <c r="G91" s="100">
        <f>G90-G89</f>
        <v>7202141.7312750006</v>
      </c>
      <c r="I91" s="142"/>
    </row>
    <row r="92" spans="1:9" ht="12" customHeight="1" x14ac:dyDescent="0.25">
      <c r="A92" s="86"/>
      <c r="B92" s="87" t="s">
        <v>42</v>
      </c>
      <c r="C92" s="88"/>
      <c r="D92" s="88"/>
      <c r="E92" s="88"/>
      <c r="F92" s="88"/>
      <c r="G92" s="83">
        <f ca="1">+G91:G92/12</f>
        <v>0</v>
      </c>
    </row>
    <row r="93" spans="1:9" ht="12.75" customHeight="1" thickBot="1" x14ac:dyDescent="0.3">
      <c r="A93" s="86"/>
      <c r="B93" s="101"/>
      <c r="C93" s="88"/>
      <c r="D93" s="88"/>
      <c r="E93" s="88"/>
      <c r="F93" s="88"/>
      <c r="G93" s="83"/>
    </row>
    <row r="94" spans="1:9" ht="12" customHeight="1" x14ac:dyDescent="0.25">
      <c r="A94" s="86"/>
      <c r="B94" s="113" t="s">
        <v>43</v>
      </c>
      <c r="C94" s="114"/>
      <c r="D94" s="114"/>
      <c r="E94" s="114"/>
      <c r="F94" s="115"/>
      <c r="G94" s="83"/>
    </row>
    <row r="95" spans="1:9" ht="12" customHeight="1" x14ac:dyDescent="0.25">
      <c r="A95" s="86"/>
      <c r="B95" s="116" t="s">
        <v>44</v>
      </c>
      <c r="C95" s="85"/>
      <c r="D95" s="85"/>
      <c r="E95" s="85"/>
      <c r="F95" s="117"/>
      <c r="G95" s="83"/>
    </row>
    <row r="96" spans="1:9" ht="12" customHeight="1" x14ac:dyDescent="0.25">
      <c r="A96" s="86"/>
      <c r="B96" s="116" t="s">
        <v>45</v>
      </c>
      <c r="C96" s="85"/>
      <c r="D96" s="85"/>
      <c r="E96" s="85"/>
      <c r="F96" s="117"/>
      <c r="G96" s="83"/>
    </row>
    <row r="97" spans="1:7" ht="12" customHeight="1" x14ac:dyDescent="0.25">
      <c r="A97" s="86"/>
      <c r="B97" s="116" t="s">
        <v>46</v>
      </c>
      <c r="C97" s="85"/>
      <c r="D97" s="85"/>
      <c r="E97" s="85"/>
      <c r="F97" s="117"/>
      <c r="G97" s="83"/>
    </row>
    <row r="98" spans="1:7" ht="12" customHeight="1" x14ac:dyDescent="0.25">
      <c r="A98" s="86"/>
      <c r="B98" s="116" t="s">
        <v>47</v>
      </c>
      <c r="C98" s="85"/>
      <c r="D98" s="85"/>
      <c r="E98" s="85"/>
      <c r="F98" s="117"/>
      <c r="G98" s="83"/>
    </row>
    <row r="99" spans="1:7" ht="12" customHeight="1" x14ac:dyDescent="0.25">
      <c r="A99" s="86"/>
      <c r="B99" s="116" t="s">
        <v>48</v>
      </c>
      <c r="C99" s="85"/>
      <c r="D99" s="85"/>
      <c r="E99" s="85"/>
      <c r="F99" s="117"/>
      <c r="G99" s="83"/>
    </row>
    <row r="100" spans="1:7" ht="12.75" customHeight="1" thickBot="1" x14ac:dyDescent="0.3">
      <c r="A100" s="86"/>
      <c r="B100" s="118" t="s">
        <v>49</v>
      </c>
      <c r="C100" s="119"/>
      <c r="D100" s="119"/>
      <c r="E100" s="119"/>
      <c r="F100" s="120"/>
      <c r="G100" s="83"/>
    </row>
    <row r="101" spans="1:7" ht="12.75" customHeight="1" x14ac:dyDescent="0.25">
      <c r="A101" s="86"/>
      <c r="B101" s="111"/>
      <c r="C101" s="85"/>
      <c r="D101" s="85"/>
      <c r="E101" s="85"/>
      <c r="F101" s="85"/>
      <c r="G101" s="83"/>
    </row>
    <row r="102" spans="1:7" ht="15" customHeight="1" thickBot="1" x14ac:dyDescent="0.3">
      <c r="A102" s="86"/>
      <c r="B102" s="156" t="s">
        <v>50</v>
      </c>
      <c r="C102" s="157"/>
      <c r="D102" s="110"/>
      <c r="E102" s="76"/>
      <c r="F102" s="76"/>
      <c r="G102" s="83"/>
    </row>
    <row r="103" spans="1:7" ht="12" customHeight="1" x14ac:dyDescent="0.25">
      <c r="A103" s="86"/>
      <c r="B103" s="103" t="s">
        <v>35</v>
      </c>
      <c r="C103" s="77" t="s">
        <v>51</v>
      </c>
      <c r="D103" s="104" t="s">
        <v>52</v>
      </c>
      <c r="E103" s="76"/>
      <c r="F103" s="76"/>
      <c r="G103" s="83"/>
    </row>
    <row r="104" spans="1:7" ht="12" customHeight="1" x14ac:dyDescent="0.25">
      <c r="A104" s="86"/>
      <c r="B104" s="105" t="s">
        <v>53</v>
      </c>
      <c r="C104" s="78">
        <f>+G30</f>
        <v>2588000</v>
      </c>
      <c r="D104" s="106">
        <f>(C104/C110)</f>
        <v>0.33188600136267349</v>
      </c>
      <c r="E104" s="76"/>
      <c r="F104" s="76"/>
      <c r="G104" s="83"/>
    </row>
    <row r="105" spans="1:7" ht="12" customHeight="1" x14ac:dyDescent="0.25">
      <c r="A105" s="86"/>
      <c r="B105" s="105" t="s">
        <v>54</v>
      </c>
      <c r="C105" s="79">
        <f>+G35</f>
        <v>0</v>
      </c>
      <c r="D105" s="106">
        <v>0</v>
      </c>
      <c r="E105" s="76"/>
      <c r="F105" s="76"/>
      <c r="G105" s="83"/>
    </row>
    <row r="106" spans="1:7" ht="12" customHeight="1" x14ac:dyDescent="0.25">
      <c r="A106" s="86"/>
      <c r="B106" s="105" t="s">
        <v>55</v>
      </c>
      <c r="C106" s="78">
        <f>+G41</f>
        <v>180000</v>
      </c>
      <c r="D106" s="106">
        <f>(C106/C110)</f>
        <v>2.3083261300340507E-2</v>
      </c>
      <c r="E106" s="76"/>
      <c r="F106" s="76"/>
      <c r="G106" s="83"/>
    </row>
    <row r="107" spans="1:7" ht="12" customHeight="1" x14ac:dyDescent="0.25">
      <c r="A107" s="86"/>
      <c r="B107" s="105" t="s">
        <v>26</v>
      </c>
      <c r="C107" s="78">
        <f>+G77</f>
        <v>4658531.6844999995</v>
      </c>
      <c r="D107" s="106">
        <f>(C107/C110)</f>
        <v>0.59741168971793834</v>
      </c>
      <c r="E107" s="76"/>
      <c r="F107" s="76"/>
      <c r="G107" s="83"/>
    </row>
    <row r="108" spans="1:7" ht="12" customHeight="1" x14ac:dyDescent="0.25">
      <c r="A108" s="86"/>
      <c r="B108" s="105" t="s">
        <v>56</v>
      </c>
      <c r="C108" s="80">
        <f>+G85</f>
        <v>0</v>
      </c>
      <c r="D108" s="106">
        <f>(C108/C110)</f>
        <v>0</v>
      </c>
      <c r="E108" s="82"/>
      <c r="F108" s="82"/>
      <c r="G108" s="83"/>
    </row>
    <row r="109" spans="1:7" ht="12" customHeight="1" x14ac:dyDescent="0.25">
      <c r="A109" s="86"/>
      <c r="B109" s="105" t="s">
        <v>57</v>
      </c>
      <c r="C109" s="80">
        <f>+G88</f>
        <v>371326.584225</v>
      </c>
      <c r="D109" s="106">
        <f>(C109/C110)</f>
        <v>4.7619047619047623E-2</v>
      </c>
      <c r="E109" s="82"/>
      <c r="F109" s="82"/>
      <c r="G109" s="83"/>
    </row>
    <row r="110" spans="1:7" ht="12.75" customHeight="1" thickBot="1" x14ac:dyDescent="0.3">
      <c r="A110" s="86"/>
      <c r="B110" s="107" t="s">
        <v>58</v>
      </c>
      <c r="C110" s="108">
        <f>SUM(C104:C109)</f>
        <v>7797858.2687249994</v>
      </c>
      <c r="D110" s="109">
        <f>SUM(D104:D109)</f>
        <v>1</v>
      </c>
      <c r="E110" s="82"/>
      <c r="F110" s="82"/>
      <c r="G110" s="83"/>
    </row>
    <row r="111" spans="1:7" ht="12" customHeight="1" x14ac:dyDescent="0.25">
      <c r="A111" s="86"/>
      <c r="B111" s="101"/>
      <c r="C111" s="88"/>
      <c r="D111" s="88"/>
      <c r="E111" s="88"/>
      <c r="F111" s="88"/>
      <c r="G111" s="83"/>
    </row>
    <row r="112" spans="1:7" ht="12.75" customHeight="1" x14ac:dyDescent="0.25">
      <c r="A112" s="86"/>
      <c r="B112" s="102"/>
      <c r="C112" s="88"/>
      <c r="D112" s="88"/>
      <c r="E112" s="88"/>
      <c r="F112" s="88"/>
      <c r="G112" s="83"/>
    </row>
    <row r="113" spans="1:7" ht="12" customHeight="1" thickBot="1" x14ac:dyDescent="0.3">
      <c r="A113" s="75"/>
      <c r="B113" s="122"/>
      <c r="C113" s="123" t="s">
        <v>137</v>
      </c>
      <c r="D113" s="124"/>
      <c r="E113" s="125"/>
      <c r="F113" s="81"/>
      <c r="G113" s="83"/>
    </row>
    <row r="114" spans="1:7" ht="12" customHeight="1" thickBot="1" x14ac:dyDescent="0.3">
      <c r="A114" s="86"/>
      <c r="B114" s="126" t="s">
        <v>123</v>
      </c>
      <c r="C114" s="138">
        <f>400*5</f>
        <v>2000</v>
      </c>
      <c r="D114" s="138">
        <f>600*5</f>
        <v>3000</v>
      </c>
      <c r="E114" s="138">
        <f>700*5</f>
        <v>3500</v>
      </c>
      <c r="F114" s="121"/>
      <c r="G114" s="84"/>
    </row>
    <row r="115" spans="1:7" ht="12.75" customHeight="1" thickBot="1" x14ac:dyDescent="0.3">
      <c r="A115" s="86"/>
      <c r="B115" s="107" t="s">
        <v>124</v>
      </c>
      <c r="C115" s="108">
        <f>+C110/C114</f>
        <v>3898.9291343624996</v>
      </c>
      <c r="D115" s="108">
        <f>+C110/D114</f>
        <v>2599.286089575</v>
      </c>
      <c r="E115" s="138">
        <f>+C110/E114</f>
        <v>2227.9595053499997</v>
      </c>
      <c r="F115" s="121"/>
      <c r="G115" s="84"/>
    </row>
    <row r="116" spans="1:7" ht="15.6" customHeight="1" x14ac:dyDescent="0.25">
      <c r="A116" s="86"/>
      <c r="B116" s="112" t="s">
        <v>59</v>
      </c>
      <c r="C116" s="85"/>
      <c r="D116" s="85"/>
      <c r="E116" s="85"/>
      <c r="F116" s="85"/>
      <c r="G116" s="85"/>
    </row>
  </sheetData>
  <mergeCells count="8">
    <mergeCell ref="B17:G17"/>
    <mergeCell ref="B102:C10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D2119-4322-443E-87A1-7AF72E932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05B3E-A095-4C31-8514-D1C58A6FE89B}">
  <ds:schemaRefs>
    <ds:schemaRef ds:uri="http://purl.org/dc/elements/1.1/"/>
    <ds:schemaRef ds:uri="http://www.w3.org/XML/1998/namespace"/>
    <ds:schemaRef ds:uri="http://schemas.microsoft.com/office/2006/documentManagement/types"/>
    <ds:schemaRef ds:uri="1030f0af-99cb-42f1-88fc-acec7333119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c5dbce2d-49dc-4afe-a5b0-d7fb7a901161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8C966C-3B13-44C4-B43B-AD0DE931C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LISIANTHUS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