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alinasa\OneDrive - INDAP\FINANCIERO 2020-2021 (1)\Fichas\2022\Valparaíso 2022\Actualizadas al 22.06.2022\La Ligua junio\"/>
    </mc:Choice>
  </mc:AlternateContent>
  <bookViews>
    <workbookView xWindow="0" yWindow="0" windowWidth="23040" windowHeight="8616" activeTab="1"/>
  </bookViews>
  <sheets>
    <sheet name="Apicultura" sheetId="1" r:id="rId1"/>
    <sheet name="Al 22.06.22" sheetId="2" r:id="rId2"/>
  </sheets>
  <definedNames>
    <definedName name="_xlnm.Print_Area" localSheetId="0">Apicultura!$B$7:$G$75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2" l="1"/>
  <c r="G40" i="2" s="1"/>
  <c r="F41" i="2"/>
  <c r="F42" i="2"/>
  <c r="F43" i="2"/>
  <c r="F44" i="2"/>
  <c r="G44" i="2" s="1"/>
  <c r="F45" i="2"/>
  <c r="F46" i="2"/>
  <c r="G46" i="2" s="1"/>
  <c r="F47" i="2"/>
  <c r="F48" i="2"/>
  <c r="G48" i="2" s="1"/>
  <c r="F49" i="2"/>
  <c r="F50" i="2"/>
  <c r="F51" i="2"/>
  <c r="F52" i="2"/>
  <c r="G52" i="2" s="1"/>
  <c r="F53" i="2"/>
  <c r="G53" i="2" s="1"/>
  <c r="F54" i="2"/>
  <c r="G54" i="2" s="1"/>
  <c r="F39" i="2"/>
  <c r="C83" i="2"/>
  <c r="C80" i="2"/>
  <c r="G51" i="2"/>
  <c r="G50" i="2"/>
  <c r="G49" i="2"/>
  <c r="G45" i="2"/>
  <c r="G43" i="2"/>
  <c r="G41" i="2"/>
  <c r="G39" i="2"/>
  <c r="G34" i="2"/>
  <c r="G35" i="2" s="1"/>
  <c r="C81" i="2" s="1"/>
  <c r="G24" i="2"/>
  <c r="G23" i="2"/>
  <c r="G22" i="2"/>
  <c r="G21" i="2"/>
  <c r="G20" i="2"/>
  <c r="G19" i="2"/>
  <c r="G10" i="2"/>
  <c r="G65" i="2" s="1"/>
  <c r="G25" i="2" l="1"/>
  <c r="C79" i="2" s="1"/>
  <c r="G55" i="2"/>
  <c r="C82" i="1"/>
  <c r="C80" i="1"/>
  <c r="C79" i="1"/>
  <c r="G65" i="1"/>
  <c r="G55" i="1"/>
  <c r="G25" i="1"/>
  <c r="C83" i="1"/>
  <c r="C82" i="2" l="1"/>
  <c r="G62" i="2"/>
  <c r="G63" i="2" s="1"/>
  <c r="F54" i="1"/>
  <c r="F53" i="1"/>
  <c r="F52" i="1"/>
  <c r="F51" i="1"/>
  <c r="F50" i="1"/>
  <c r="F49" i="1"/>
  <c r="F48" i="1"/>
  <c r="F46" i="1"/>
  <c r="F45" i="1"/>
  <c r="F44" i="1"/>
  <c r="F43" i="1"/>
  <c r="F41" i="1"/>
  <c r="F40" i="1"/>
  <c r="F39" i="1"/>
  <c r="F20" i="1"/>
  <c r="F21" i="1"/>
  <c r="F22" i="1"/>
  <c r="F23" i="1"/>
  <c r="F24" i="1"/>
  <c r="F19" i="1"/>
  <c r="G34" i="1"/>
  <c r="G35" i="1" s="1"/>
  <c r="G64" i="2" l="1"/>
  <c r="C84" i="2"/>
  <c r="G62" i="1"/>
  <c r="G63" i="1" s="1"/>
  <c r="C81" i="1"/>
  <c r="G54" i="1"/>
  <c r="G53" i="1"/>
  <c r="G52" i="1"/>
  <c r="G51" i="1"/>
  <c r="G50" i="1"/>
  <c r="G49" i="1"/>
  <c r="G48" i="1"/>
  <c r="G46" i="1"/>
  <c r="G45" i="1"/>
  <c r="G44" i="1"/>
  <c r="G43" i="1"/>
  <c r="G41" i="1"/>
  <c r="G40" i="1"/>
  <c r="G39" i="1"/>
  <c r="G24" i="1"/>
  <c r="G23" i="1"/>
  <c r="G22" i="1"/>
  <c r="G21" i="1"/>
  <c r="G20" i="1"/>
  <c r="G19" i="1"/>
  <c r="G10" i="1"/>
  <c r="E90" i="2" l="1"/>
  <c r="D90" i="2"/>
  <c r="C90" i="2"/>
  <c r="G66" i="2"/>
  <c r="C85" i="2"/>
  <c r="G64" i="1"/>
  <c r="C84" i="1"/>
  <c r="C85" i="1" s="1"/>
  <c r="D83" i="2" l="1"/>
  <c r="D81" i="2"/>
  <c r="D79" i="2"/>
  <c r="D82" i="2"/>
  <c r="D84" i="2"/>
  <c r="D84" i="1"/>
  <c r="D83" i="1"/>
  <c r="D79" i="1"/>
  <c r="D82" i="1"/>
  <c r="D81" i="1"/>
  <c r="E90" i="1"/>
  <c r="D90" i="1"/>
  <c r="C90" i="1"/>
  <c r="G66" i="1"/>
  <c r="D85" i="2" l="1"/>
  <c r="D85" i="1"/>
</calcChain>
</file>

<file path=xl/sharedStrings.xml><?xml version="1.0" encoding="utf-8"?>
<sst xmlns="http://schemas.openxmlformats.org/spreadsheetml/2006/main" count="334" uniqueCount="111">
  <si>
    <t>RUBRO O CULTIVO</t>
  </si>
  <si>
    <t>APICULTURA</t>
  </si>
  <si>
    <t>ESPECIE</t>
  </si>
  <si>
    <t>ABEJA</t>
  </si>
  <si>
    <t>FECHA ESTIMADA  PRECIO VENTA</t>
  </si>
  <si>
    <t>NIVEL TECNOLÓGICO</t>
  </si>
  <si>
    <t>MEDIO</t>
  </si>
  <si>
    <t>PRECIO ESPERADO ($/u)</t>
  </si>
  <si>
    <t>REGIÓN</t>
  </si>
  <si>
    <t>VALPARAISO</t>
  </si>
  <si>
    <t>INGRESO ESPERADO, CON IVA ($)</t>
  </si>
  <si>
    <t>ÁREA</t>
  </si>
  <si>
    <t>LA LIGUA</t>
  </si>
  <si>
    <t>DESTINO PRODUCCIÓN</t>
  </si>
  <si>
    <t>MERCADO INTERNO</t>
  </si>
  <si>
    <t>COMUNA/LOCALIDAD</t>
  </si>
  <si>
    <t>FECHA DE COSECHA</t>
  </si>
  <si>
    <t>Dic-Ene</t>
  </si>
  <si>
    <t>FECHA PRECIO INSUMOS</t>
  </si>
  <si>
    <t>CONTINGENCIA</t>
  </si>
  <si>
    <t>Labores</t>
  </si>
  <si>
    <t>Unidad</t>
  </si>
  <si>
    <t>N° Jornadas</t>
  </si>
  <si>
    <t xml:space="preserve"> Sub Total ($) </t>
  </si>
  <si>
    <t>Desinfección del material</t>
  </si>
  <si>
    <t>JH</t>
  </si>
  <si>
    <t>Mar-May</t>
  </si>
  <si>
    <t>Formación de núcleos</t>
  </si>
  <si>
    <t>Sept-Dic</t>
  </si>
  <si>
    <t>Desarrollo de familias</t>
  </si>
  <si>
    <t>Ago-Oct</t>
  </si>
  <si>
    <t>Preparación de apiarios</t>
  </si>
  <si>
    <t>todo el año</t>
  </si>
  <si>
    <t>Preparación de invernada</t>
  </si>
  <si>
    <t>Mar-Abr</t>
  </si>
  <si>
    <t>Revisión externa</t>
  </si>
  <si>
    <t>JORNADAS ANIMAL</t>
  </si>
  <si>
    <t xml:space="preserve"> Precio Unitario ($) </t>
  </si>
  <si>
    <t>Subtotal Jornadas Animal</t>
  </si>
  <si>
    <t>MAQUINARIA</t>
  </si>
  <si>
    <t>Subtotal Costo Maquinaria</t>
  </si>
  <si>
    <t>INSUMOS</t>
  </si>
  <si>
    <t>Insumos</t>
  </si>
  <si>
    <t>Alimentación de incentivo</t>
  </si>
  <si>
    <t>Colmena</t>
  </si>
  <si>
    <t>Jul-Sep</t>
  </si>
  <si>
    <t>Alimentación de mantención</t>
  </si>
  <si>
    <t>Mar-Jul</t>
  </si>
  <si>
    <t>Reinas</t>
  </si>
  <si>
    <t>Sept- Dic</t>
  </si>
  <si>
    <t>Sanidad</t>
  </si>
  <si>
    <t>Análisis de enfermedades</t>
  </si>
  <si>
    <t>Todo el Año</t>
  </si>
  <si>
    <t>Control acariosis (aceite y mentol)</t>
  </si>
  <si>
    <t>Fumidil B</t>
  </si>
  <si>
    <t>Jul-Ago a Abr-May</t>
  </si>
  <si>
    <t>Amivar</t>
  </si>
  <si>
    <t>Feb-Mar</t>
  </si>
  <si>
    <t>Cosecha, Poscosecha, Transhumancia</t>
  </si>
  <si>
    <t>Cosecha</t>
  </si>
  <si>
    <t>J/H</t>
  </si>
  <si>
    <t>Extracción de miel</t>
  </si>
  <si>
    <t>Kg</t>
  </si>
  <si>
    <t>Acopio de miel</t>
  </si>
  <si>
    <t>Arriendo sitio</t>
  </si>
  <si>
    <t>Todo el año</t>
  </si>
  <si>
    <t>Traslados, alimentación</t>
  </si>
  <si>
    <t>mes</t>
  </si>
  <si>
    <t>Flete Externo</t>
  </si>
  <si>
    <t>Imprevistos</t>
  </si>
  <si>
    <t>OTROS</t>
  </si>
  <si>
    <t>Item</t>
  </si>
  <si>
    <t>Época (Mes)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</si>
  <si>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</si>
  <si>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</si>
  <si>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</si>
  <si>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</si>
  <si>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</si>
  <si>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</si>
  <si>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Fuente: INDAP</t>
  </si>
  <si>
    <t>Notas:</t>
  </si>
  <si>
    <t>1. Precios de insumos y productos se expresan con IVA</t>
  </si>
  <si>
    <t>2.  Precio de Insumos corresponde a  precios  colocados en el predio</t>
  </si>
  <si>
    <t xml:space="preserve">3. Precio esperado por ventas corresponde a precio colocado en el domicilio del comprador, inc. Ingreso a Feria </t>
  </si>
  <si>
    <t>4. Los insumos aplicados (tipo y dosis) están referidos al  Área en particular</t>
  </si>
  <si>
    <t>5. El costo de la maquinaria incluye costo del operador, combustible y  arriendo de la maquinaria propiamente tal</t>
  </si>
  <si>
    <t>6. El  costo de la mano de obra incluye impuestos e  imposiciones</t>
  </si>
  <si>
    <t>Sequía, problemas sanitarios dentro de la colmena y o apiarios, mala floracion en el medio natural, obligatoriedad de realizar trashumancia</t>
  </si>
  <si>
    <t>Transporte Trashumancia</t>
  </si>
  <si>
    <t>Invierno-Verano</t>
  </si>
  <si>
    <t>RENDIMIENTO (Unidades/ha)</t>
  </si>
  <si>
    <t>COSTOS DIRECTOS DE PRODUCCIÓN POR HECTÁREA (INCLUYE IVA)</t>
  </si>
  <si>
    <t>MANO DE OBRA</t>
  </si>
  <si>
    <t>Subtotal Jornadas Hombre</t>
  </si>
  <si>
    <t xml:space="preserve"> </t>
  </si>
  <si>
    <t>Unidad (Kg/l/u)</t>
  </si>
  <si>
    <t>Cantidad (Kg/l/u)</t>
  </si>
  <si>
    <t>Subtotal Insumos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</si>
  <si>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</si>
  <si>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</si>
  <si>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</si>
  <si>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</si>
  <si>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</si>
  <si>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</si>
  <si>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</si>
  <si>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COSTO TOTAL/hà.</t>
  </si>
  <si>
    <t>ESCENARIOS COSTO UNITARIO  ($/unidades)</t>
  </si>
  <si>
    <t>Rendimiento  (Unidades/hà)</t>
  </si>
  <si>
    <t>Costo unitario ($/ Unidades) (*)</t>
  </si>
  <si>
    <t>(*): Este valor representa el valor mìnimo de venta del producto</t>
  </si>
  <si>
    <t>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</si>
</sst>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mm/yy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</numFmts>
  <fonts count="20" x14ac:knownFonts="1">
    <font>
      <sz val="11"/>
      <color theme="1"/>
      <name val="Calibri"/>
      <family val="2"/>
      <scheme val="minor"/>
    </font>
    <font>
      <b/>
      <sz val="7"/>
      <color rgb="FFFFFFFF"/>
      <name val="Calibri"/>
      <family val="2"/>
    </font>
    <font>
      <sz val="7"/>
      <color rgb="FF000000"/>
      <name val="Calibri"/>
      <family val="2"/>
    </font>
    <font>
      <sz val="7"/>
      <name val="Calibri"/>
      <family val="2"/>
    </font>
    <font>
      <sz val="11"/>
      <color theme="1"/>
      <name val="Calibri"/>
      <family val="2"/>
    </font>
    <font>
      <b/>
      <i/>
      <sz val="9"/>
      <color rgb="FFFFFFFF"/>
      <name val="Calibri"/>
      <family val="2"/>
    </font>
    <font>
      <b/>
      <i/>
      <sz val="7"/>
      <color rgb="FF000000"/>
      <name val="Calibri"/>
      <family val="2"/>
    </font>
    <font>
      <b/>
      <sz val="7"/>
      <color rgb="FF000000"/>
      <name val="Calibri"/>
      <family val="2"/>
    </font>
    <font>
      <sz val="8"/>
      <color theme="1"/>
      <name val="Calibri"/>
      <family val="2"/>
    </font>
    <font>
      <sz val="9"/>
      <color rgb="FFFFFFFF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8"/>
      <color rgb="FFFFFFFF"/>
      <name val="Arial Narrow"/>
      <family val="2"/>
    </font>
    <font>
      <sz val="9"/>
      <color rgb="FFFFFFFF"/>
      <name val="Arial Narrow"/>
      <family val="2"/>
    </font>
    <font>
      <sz val="10"/>
      <color rgb="FF000000"/>
      <name val="Arial Narrow"/>
      <family val="2"/>
    </font>
    <font>
      <sz val="8"/>
      <color rgb="FF000000"/>
      <name val="Arial Narrow"/>
      <family val="2"/>
    </font>
    <font>
      <b/>
      <sz val="7"/>
      <color rgb="FFFEFEFE"/>
      <name val="Calibri"/>
      <family val="2"/>
    </font>
    <font>
      <sz val="11"/>
      <color rgb="FF000000"/>
      <name val="Calibri"/>
      <family val="2"/>
    </font>
    <font>
      <sz val="8"/>
      <color rgb="FFFFFFFF"/>
      <name val="Calibri"/>
      <family val="2"/>
    </font>
    <font>
      <sz val="9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4CB3B0"/>
        <bgColor auto="1"/>
      </patternFill>
    </fill>
    <fill>
      <patternFill patternType="solid">
        <fgColor rgb="FF777670"/>
        <bgColor auto="1"/>
      </patternFill>
    </fill>
    <fill>
      <patternFill patternType="solid">
        <fgColor rgb="FFFF891C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E26B0A"/>
        <bgColor rgb="FF000000"/>
      </patternFill>
    </fill>
    <fill>
      <patternFill patternType="solid">
        <fgColor rgb="FFFEFEFE"/>
        <bgColor auto="1"/>
      </patternFill>
    </fill>
    <fill>
      <patternFill patternType="solid">
        <fgColor rgb="FFD8D8D8"/>
        <bgColor auto="1"/>
      </patternFill>
    </fill>
  </fills>
  <borders count="3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000000"/>
      </bottom>
      <diagonal/>
    </border>
    <border>
      <left style="thin">
        <color rgb="FF7F7F7F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7F7F7F"/>
      </left>
      <right style="thin">
        <color rgb="FFAAAAAA"/>
      </right>
      <top style="thin">
        <color rgb="FFAAAAAA"/>
      </top>
      <bottom style="thin">
        <color rgb="FF7F7F7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000000"/>
      </top>
      <bottom style="thin">
        <color rgb="FF7F7F7F"/>
      </bottom>
      <diagonal/>
    </border>
    <border>
      <left style="thin">
        <color rgb="FFAAAAAA"/>
      </left>
      <right style="thin">
        <color rgb="FFAAAAAA"/>
      </right>
      <top style="thin">
        <color rgb="FF7F7F7F"/>
      </top>
      <bottom/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17" fontId="2" fillId="0" borderId="1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/>
    <xf numFmtId="0" fontId="2" fillId="2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vertical="center" wrapText="1"/>
    </xf>
    <xf numFmtId="49" fontId="10" fillId="5" borderId="7" xfId="0" applyNumberFormat="1" applyFont="1" applyFill="1" applyBorder="1" applyAlignment="1">
      <alignment vertical="center"/>
    </xf>
    <xf numFmtId="0" fontId="11" fillId="6" borderId="8" xfId="0" applyFont="1" applyFill="1" applyBorder="1" applyAlignment="1">
      <alignment vertical="center"/>
    </xf>
    <xf numFmtId="0" fontId="11" fillId="6" borderId="9" xfId="0" applyFont="1" applyFill="1" applyBorder="1" applyAlignment="1">
      <alignment vertical="center"/>
    </xf>
    <xf numFmtId="0" fontId="11" fillId="6" borderId="9" xfId="0" applyFont="1" applyFill="1" applyBorder="1" applyAlignment="1">
      <alignment horizontal="right" vertical="center"/>
    </xf>
    <xf numFmtId="49" fontId="10" fillId="3" borderId="5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vertical="center"/>
    </xf>
    <xf numFmtId="49" fontId="10" fillId="5" borderId="4" xfId="0" applyNumberFormat="1" applyFont="1" applyFill="1" applyBorder="1" applyAlignment="1">
      <alignment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vertical="center"/>
    </xf>
    <xf numFmtId="0" fontId="11" fillId="6" borderId="11" xfId="0" applyFont="1" applyFill="1" applyBorder="1" applyAlignment="1">
      <alignment horizontal="right" vertical="center"/>
    </xf>
    <xf numFmtId="49" fontId="10" fillId="3" borderId="4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vertical="center"/>
    </xf>
    <xf numFmtId="0" fontId="11" fillId="6" borderId="4" xfId="0" applyFont="1" applyFill="1" applyBorder="1" applyAlignment="1">
      <alignment horizontal="center" vertical="center"/>
    </xf>
    <xf numFmtId="3" fontId="11" fillId="6" borderId="4" xfId="0" applyNumberFormat="1" applyFont="1" applyFill="1" applyBorder="1" applyAlignment="1">
      <alignment vertical="center"/>
    </xf>
    <xf numFmtId="3" fontId="11" fillId="6" borderId="4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49" fontId="10" fillId="3" borderId="12" xfId="0" applyNumberFormat="1" applyFont="1" applyFill="1" applyBorder="1" applyAlignment="1">
      <alignment horizontal="center" vertical="center" wrapText="1"/>
    </xf>
    <xf numFmtId="49" fontId="10" fillId="3" borderId="12" xfId="0" applyNumberFormat="1" applyFont="1" applyFill="1" applyBorder="1" applyAlignment="1">
      <alignment horizontal="right" vertical="center" wrapText="1"/>
    </xf>
    <xf numFmtId="49" fontId="13" fillId="3" borderId="13" xfId="0" applyNumberFormat="1" applyFont="1" applyFill="1" applyBorder="1" applyAlignment="1">
      <alignment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vertical="center"/>
    </xf>
    <xf numFmtId="3" fontId="13" fillId="3" borderId="13" xfId="0" applyNumberFormat="1" applyFont="1" applyFill="1" applyBorder="1" applyAlignment="1">
      <alignment horizontal="center" vertical="center"/>
    </xf>
    <xf numFmtId="49" fontId="10" fillId="3" borderId="12" xfId="0" applyNumberFormat="1" applyFont="1" applyFill="1" applyBorder="1" applyAlignment="1">
      <alignment horizontal="center" vertical="center"/>
    </xf>
    <xf numFmtId="0" fontId="14" fillId="6" borderId="13" xfId="0" applyFont="1" applyFill="1" applyBorder="1" applyAlignment="1"/>
    <xf numFmtId="0" fontId="14" fillId="6" borderId="13" xfId="0" applyFont="1" applyFill="1" applyBorder="1" applyAlignment="1">
      <alignment horizontal="center"/>
    </xf>
    <xf numFmtId="49" fontId="15" fillId="6" borderId="13" xfId="0" applyNumberFormat="1" applyFont="1" applyFill="1" applyBorder="1" applyAlignment="1">
      <alignment horizontal="center"/>
    </xf>
    <xf numFmtId="3" fontId="15" fillId="6" borderId="13" xfId="0" applyNumberFormat="1" applyFont="1" applyFill="1" applyBorder="1" applyAlignment="1">
      <alignment horizontal="center"/>
    </xf>
    <xf numFmtId="49" fontId="13" fillId="3" borderId="14" xfId="0" applyNumberFormat="1" applyFont="1" applyFill="1" applyBorder="1" applyAlignment="1">
      <alignment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right" vertical="center"/>
    </xf>
    <xf numFmtId="0" fontId="13" fillId="3" borderId="14" xfId="0" applyFont="1" applyFill="1" applyBorder="1" applyAlignment="1">
      <alignment vertical="center"/>
    </xf>
    <xf numFmtId="3" fontId="13" fillId="3" borderId="14" xfId="0" applyNumberFormat="1" applyFont="1" applyFill="1" applyBorder="1" applyAlignment="1">
      <alignment horizontal="center" vertical="center"/>
    </xf>
    <xf numFmtId="0" fontId="11" fillId="6" borderId="15" xfId="0" applyFont="1" applyFill="1" applyBorder="1" applyAlignment="1"/>
    <xf numFmtId="3" fontId="11" fillId="6" borderId="15" xfId="0" applyNumberFormat="1" applyFont="1" applyFill="1" applyBorder="1" applyAlignment="1"/>
    <xf numFmtId="3" fontId="11" fillId="6" borderId="15" xfId="0" applyNumberFormat="1" applyFont="1" applyFill="1" applyBorder="1" applyAlignment="1">
      <alignment horizontal="right"/>
    </xf>
    <xf numFmtId="49" fontId="10" fillId="5" borderId="16" xfId="0" applyNumberFormat="1" applyFont="1" applyFill="1" applyBorder="1" applyAlignment="1">
      <alignment vertical="center"/>
    </xf>
    <xf numFmtId="0" fontId="10" fillId="5" borderId="17" xfId="0" applyFont="1" applyFill="1" applyBorder="1" applyAlignment="1">
      <alignment vertical="center"/>
    </xf>
    <xf numFmtId="166" fontId="10" fillId="5" borderId="18" xfId="0" applyNumberFormat="1" applyFont="1" applyFill="1" applyBorder="1" applyAlignment="1">
      <alignment vertical="center"/>
    </xf>
    <xf numFmtId="49" fontId="10" fillId="3" borderId="19" xfId="0" applyNumberFormat="1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166" fontId="10" fillId="3" borderId="20" xfId="0" applyNumberFormat="1" applyFont="1" applyFill="1" applyBorder="1" applyAlignment="1">
      <alignment vertical="center"/>
    </xf>
    <xf numFmtId="49" fontId="10" fillId="5" borderId="19" xfId="0" applyNumberFormat="1" applyFont="1" applyFill="1" applyBorder="1" applyAlignment="1">
      <alignment vertical="center"/>
    </xf>
    <xf numFmtId="0" fontId="10" fillId="5" borderId="4" xfId="0" applyFont="1" applyFill="1" applyBorder="1" applyAlignment="1">
      <alignment vertical="center"/>
    </xf>
    <xf numFmtId="166" fontId="10" fillId="5" borderId="20" xfId="0" applyNumberFormat="1" applyFont="1" applyFill="1" applyBorder="1" applyAlignment="1">
      <alignment vertical="center"/>
    </xf>
    <xf numFmtId="49" fontId="10" fillId="5" borderId="21" xfId="0" applyNumberFormat="1" applyFont="1" applyFill="1" applyBorder="1" applyAlignment="1">
      <alignment vertical="center"/>
    </xf>
    <xf numFmtId="0" fontId="1" fillId="5" borderId="22" xfId="0" applyFont="1" applyFill="1" applyBorder="1" applyAlignment="1">
      <alignment vertical="center"/>
    </xf>
    <xf numFmtId="0" fontId="2" fillId="7" borderId="25" xfId="0" applyFont="1" applyFill="1" applyBorder="1" applyAlignment="1"/>
    <xf numFmtId="0" fontId="2" fillId="8" borderId="0" xfId="0" applyFont="1" applyFill="1" applyBorder="1" applyAlignment="1"/>
    <xf numFmtId="49" fontId="7" fillId="9" borderId="26" xfId="0" applyNumberFormat="1" applyFont="1" applyFill="1" applyBorder="1" applyAlignment="1">
      <alignment vertical="center"/>
    </xf>
    <xf numFmtId="49" fontId="7" fillId="9" borderId="27" xfId="0" applyNumberFormat="1" applyFont="1" applyFill="1" applyBorder="1" applyAlignment="1">
      <alignment horizontal="center" vertical="center"/>
    </xf>
    <xf numFmtId="49" fontId="2" fillId="9" borderId="28" xfId="0" applyNumberFormat="1" applyFont="1" applyFill="1" applyBorder="1" applyAlignment="1">
      <alignment horizontal="center"/>
    </xf>
    <xf numFmtId="49" fontId="7" fillId="6" borderId="29" xfId="0" applyNumberFormat="1" applyFont="1" applyFill="1" applyBorder="1" applyAlignment="1">
      <alignment vertical="center"/>
    </xf>
    <xf numFmtId="3" fontId="7" fillId="6" borderId="5" xfId="0" applyNumberFormat="1" applyFont="1" applyFill="1" applyBorder="1" applyAlignment="1">
      <alignment vertical="center"/>
    </xf>
    <xf numFmtId="9" fontId="2" fillId="6" borderId="30" xfId="0" applyNumberFormat="1" applyFont="1" applyFill="1" applyBorder="1" applyAlignment="1"/>
    <xf numFmtId="167" fontId="7" fillId="6" borderId="5" xfId="0" applyNumberFormat="1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49" fontId="7" fillId="9" borderId="31" xfId="0" applyNumberFormat="1" applyFont="1" applyFill="1" applyBorder="1" applyAlignment="1">
      <alignment vertical="center"/>
    </xf>
    <xf numFmtId="167" fontId="7" fillId="9" borderId="32" xfId="0" applyNumberFormat="1" applyFont="1" applyFill="1" applyBorder="1" applyAlignment="1">
      <alignment vertical="center"/>
    </xf>
    <xf numFmtId="9" fontId="7" fillId="9" borderId="33" xfId="0" applyNumberFormat="1" applyFont="1" applyFill="1" applyBorder="1" applyAlignment="1">
      <alignment vertical="center"/>
    </xf>
    <xf numFmtId="0" fontId="17" fillId="6" borderId="0" xfId="0" applyFont="1" applyFill="1" applyBorder="1" applyAlignment="1">
      <alignment vertical="center"/>
    </xf>
    <xf numFmtId="0" fontId="1" fillId="6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vertical="center"/>
    </xf>
    <xf numFmtId="49" fontId="7" fillId="9" borderId="37" xfId="0" applyNumberFormat="1" applyFont="1" applyFill="1" applyBorder="1" applyAlignment="1">
      <alignment vertical="center"/>
    </xf>
    <xf numFmtId="3" fontId="7" fillId="9" borderId="38" xfId="0" applyNumberFormat="1" applyFont="1" applyFill="1" applyBorder="1" applyAlignment="1">
      <alignment vertical="center"/>
    </xf>
    <xf numFmtId="167" fontId="7" fillId="9" borderId="33" xfId="0" applyNumberFormat="1" applyFont="1" applyFill="1" applyBorder="1" applyAlignment="1">
      <alignment vertical="center"/>
    </xf>
    <xf numFmtId="49" fontId="2" fillId="6" borderId="0" xfId="0" applyNumberFormat="1" applyFont="1" applyFill="1" applyBorder="1" applyAlignment="1">
      <alignment vertical="center"/>
    </xf>
    <xf numFmtId="0" fontId="2" fillId="6" borderId="0" xfId="0" applyFont="1" applyFill="1" applyBorder="1" applyAlignment="1"/>
    <xf numFmtId="49" fontId="19" fillId="3" borderId="5" xfId="0" applyNumberFormat="1" applyFont="1" applyFill="1" applyBorder="1" applyAlignment="1">
      <alignment vertical="center"/>
    </xf>
    <xf numFmtId="3" fontId="19" fillId="3" borderId="5" xfId="0" applyNumberFormat="1" applyFont="1" applyFill="1" applyBorder="1" applyAlignment="1">
      <alignment horizontal="center" vertical="center"/>
    </xf>
    <xf numFmtId="49" fontId="19" fillId="3" borderId="4" xfId="0" applyNumberFormat="1" applyFont="1" applyFill="1" applyBorder="1" applyAlignment="1">
      <alignment vertical="center"/>
    </xf>
    <xf numFmtId="3" fontId="19" fillId="3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49" fontId="16" fillId="7" borderId="23" xfId="0" applyNumberFormat="1" applyFont="1" applyFill="1" applyBorder="1" applyAlignment="1">
      <alignment vertical="center"/>
    </xf>
    <xf numFmtId="0" fontId="7" fillId="7" borderId="24" xfId="0" applyFont="1" applyFill="1" applyBorder="1" applyAlignment="1">
      <alignment vertical="center"/>
    </xf>
    <xf numFmtId="49" fontId="16" fillId="7" borderId="34" xfId="0" applyNumberFormat="1" applyFont="1" applyFill="1" applyBorder="1" applyAlignment="1">
      <alignment horizontal="center" vertical="center"/>
    </xf>
    <xf numFmtId="49" fontId="16" fillId="7" borderId="35" xfId="0" applyNumberFormat="1" applyFont="1" applyFill="1" applyBorder="1" applyAlignment="1">
      <alignment horizontal="center" vertical="center"/>
    </xf>
    <xf numFmtId="49" fontId="16" fillId="7" borderId="3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wrapText="1"/>
    </xf>
    <xf numFmtId="0" fontId="9" fillId="4" borderId="5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82550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0"/>
          <a:ext cx="7175500" cy="1073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82550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0"/>
          <a:ext cx="717677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H91"/>
  <sheetViews>
    <sheetView topLeftCell="A31" zoomScaleNormal="100" workbookViewId="0">
      <selection sqref="A1:XFD1048576"/>
    </sheetView>
  </sheetViews>
  <sheetFormatPr baseColWidth="10" defaultColWidth="11.5546875" defaultRowHeight="14.4" x14ac:dyDescent="0.3"/>
  <cols>
    <col min="1" max="1" width="5.109375" style="3" customWidth="1"/>
    <col min="2" max="2" width="26.6640625" style="3" customWidth="1"/>
    <col min="3" max="3" width="16.77734375" style="3" customWidth="1"/>
    <col min="4" max="4" width="9" style="3" customWidth="1"/>
    <col min="5" max="5" width="12.109375" style="3" bestFit="1" customWidth="1"/>
    <col min="6" max="6" width="12.77734375" style="3" customWidth="1"/>
    <col min="7" max="7" width="26.109375" style="3" customWidth="1"/>
    <col min="8" max="16384" width="11.5546875" style="3"/>
  </cols>
  <sheetData>
    <row r="7" spans="2:7" ht="22.5" customHeight="1" x14ac:dyDescent="0.3">
      <c r="B7" s="33" t="s">
        <v>0</v>
      </c>
      <c r="C7" s="15" t="s">
        <v>1</v>
      </c>
      <c r="D7" s="1"/>
      <c r="E7" s="124" t="s">
        <v>90</v>
      </c>
      <c r="F7" s="125"/>
      <c r="G7" s="2">
        <v>1500</v>
      </c>
    </row>
    <row r="8" spans="2:7" ht="22.5" customHeight="1" x14ac:dyDescent="0.3">
      <c r="B8" s="4" t="s">
        <v>2</v>
      </c>
      <c r="C8" s="27" t="s">
        <v>3</v>
      </c>
      <c r="D8" s="1"/>
      <c r="E8" s="126" t="s">
        <v>4</v>
      </c>
      <c r="F8" s="126"/>
      <c r="G8" s="6" t="s">
        <v>65</v>
      </c>
    </row>
    <row r="9" spans="2:7" x14ac:dyDescent="0.3">
      <c r="B9" s="4" t="s">
        <v>5</v>
      </c>
      <c r="C9" s="15" t="s">
        <v>6</v>
      </c>
      <c r="D9" s="1"/>
      <c r="E9" s="126" t="s">
        <v>7</v>
      </c>
      <c r="F9" s="126"/>
      <c r="G9" s="7">
        <v>4500</v>
      </c>
    </row>
    <row r="10" spans="2:7" x14ac:dyDescent="0.3">
      <c r="B10" s="4" t="s">
        <v>8</v>
      </c>
      <c r="C10" s="15" t="s">
        <v>9</v>
      </c>
      <c r="D10" s="1"/>
      <c r="E10" s="127" t="s">
        <v>10</v>
      </c>
      <c r="F10" s="128"/>
      <c r="G10" s="31">
        <f>+G9*G7</f>
        <v>6750000</v>
      </c>
    </row>
    <row r="11" spans="2:7" x14ac:dyDescent="0.3">
      <c r="B11" s="4" t="s">
        <v>11</v>
      </c>
      <c r="C11" s="15" t="s">
        <v>12</v>
      </c>
      <c r="D11" s="1"/>
      <c r="E11" s="127" t="s">
        <v>13</v>
      </c>
      <c r="F11" s="128"/>
      <c r="G11" s="8" t="s">
        <v>14</v>
      </c>
    </row>
    <row r="12" spans="2:7" x14ac:dyDescent="0.3">
      <c r="B12" s="4" t="s">
        <v>15</v>
      </c>
      <c r="C12" s="16" t="s">
        <v>12</v>
      </c>
      <c r="D12" s="1"/>
      <c r="E12" s="127" t="s">
        <v>16</v>
      </c>
      <c r="F12" s="128"/>
      <c r="G12" s="5" t="s">
        <v>17</v>
      </c>
    </row>
    <row r="13" spans="2:7" ht="38.4" x14ac:dyDescent="0.3">
      <c r="B13" s="4" t="s">
        <v>18</v>
      </c>
      <c r="C13" s="28">
        <v>44602</v>
      </c>
      <c r="D13" s="1"/>
      <c r="E13" s="120" t="s">
        <v>19</v>
      </c>
      <c r="F13" s="121"/>
      <c r="G13" s="30" t="s">
        <v>87</v>
      </c>
    </row>
    <row r="14" spans="2:7" x14ac:dyDescent="0.3">
      <c r="B14" s="9"/>
      <c r="C14" s="10"/>
      <c r="D14" s="1"/>
      <c r="E14" s="1"/>
      <c r="F14" s="1"/>
      <c r="G14" s="11"/>
    </row>
    <row r="15" spans="2:7" x14ac:dyDescent="0.3">
      <c r="B15" s="122" t="s">
        <v>91</v>
      </c>
      <c r="C15" s="123"/>
      <c r="D15" s="123"/>
      <c r="E15" s="123"/>
      <c r="F15" s="123"/>
      <c r="G15" s="123"/>
    </row>
    <row r="16" spans="2:7" x14ac:dyDescent="0.3">
      <c r="B16" s="1"/>
      <c r="C16" s="12"/>
      <c r="D16" s="12"/>
      <c r="E16" s="13"/>
      <c r="F16" s="1"/>
      <c r="G16" s="1"/>
    </row>
    <row r="17" spans="2:7" x14ac:dyDescent="0.3">
      <c r="B17" s="34" t="s">
        <v>92</v>
      </c>
      <c r="C17" s="35"/>
      <c r="D17" s="36"/>
      <c r="E17" s="36"/>
      <c r="F17" s="36"/>
      <c r="G17" s="37"/>
    </row>
    <row r="18" spans="2:7" ht="24" x14ac:dyDescent="0.3">
      <c r="B18" s="38" t="s">
        <v>20</v>
      </c>
      <c r="C18" s="38" t="s">
        <v>21</v>
      </c>
      <c r="D18" s="38" t="s">
        <v>22</v>
      </c>
      <c r="E18" s="38" t="s">
        <v>72</v>
      </c>
      <c r="F18" s="38" t="s">
        <v>37</v>
      </c>
      <c r="G18" s="38" t="s">
        <v>23</v>
      </c>
    </row>
    <row r="19" spans="2:7" x14ac:dyDescent="0.3">
      <c r="B19" s="14" t="s">
        <v>24</v>
      </c>
      <c r="C19" s="15" t="s">
        <v>25</v>
      </c>
      <c r="D19" s="15">
        <v>5</v>
      </c>
      <c r="E19" s="16" t="s">
        <v>26</v>
      </c>
      <c r="F19" s="17">
        <f>(18000+(18000*0.06))*1.1</f>
        <v>20988</v>
      </c>
      <c r="G19" s="17">
        <f t="shared" ref="G19:G24" si="0">F19*D19</f>
        <v>104940</v>
      </c>
    </row>
    <row r="20" spans="2:7" x14ac:dyDescent="0.3">
      <c r="B20" s="14" t="s">
        <v>27</v>
      </c>
      <c r="C20" s="15" t="s">
        <v>25</v>
      </c>
      <c r="D20" s="15">
        <v>5</v>
      </c>
      <c r="E20" s="16" t="s">
        <v>28</v>
      </c>
      <c r="F20" s="17">
        <f t="shared" ref="F20:F24" si="1">(18000+(18000*0.06))*1.1</f>
        <v>20988</v>
      </c>
      <c r="G20" s="17">
        <f t="shared" si="0"/>
        <v>104940</v>
      </c>
    </row>
    <row r="21" spans="2:7" x14ac:dyDescent="0.3">
      <c r="B21" s="14" t="s">
        <v>29</v>
      </c>
      <c r="C21" s="15" t="s">
        <v>25</v>
      </c>
      <c r="D21" s="15">
        <v>15</v>
      </c>
      <c r="E21" s="16" t="s">
        <v>30</v>
      </c>
      <c r="F21" s="17">
        <f t="shared" si="1"/>
        <v>20988</v>
      </c>
      <c r="G21" s="17">
        <f t="shared" si="0"/>
        <v>314820</v>
      </c>
    </row>
    <row r="22" spans="2:7" x14ac:dyDescent="0.3">
      <c r="B22" s="14" t="s">
        <v>31</v>
      </c>
      <c r="C22" s="15" t="s">
        <v>25</v>
      </c>
      <c r="D22" s="15">
        <v>5</v>
      </c>
      <c r="E22" s="16" t="s">
        <v>32</v>
      </c>
      <c r="F22" s="17">
        <f t="shared" si="1"/>
        <v>20988</v>
      </c>
      <c r="G22" s="17">
        <f t="shared" si="0"/>
        <v>104940</v>
      </c>
    </row>
    <row r="23" spans="2:7" x14ac:dyDescent="0.3">
      <c r="B23" s="14" t="s">
        <v>33</v>
      </c>
      <c r="C23" s="15" t="s">
        <v>25</v>
      </c>
      <c r="D23" s="15">
        <v>5</v>
      </c>
      <c r="E23" s="16" t="s">
        <v>34</v>
      </c>
      <c r="F23" s="17">
        <f t="shared" si="1"/>
        <v>20988</v>
      </c>
      <c r="G23" s="17">
        <f t="shared" si="0"/>
        <v>104940</v>
      </c>
    </row>
    <row r="24" spans="2:7" x14ac:dyDescent="0.3">
      <c r="B24" s="14" t="s">
        <v>35</v>
      </c>
      <c r="C24" s="15" t="s">
        <v>25</v>
      </c>
      <c r="D24" s="15">
        <v>3</v>
      </c>
      <c r="E24" s="16" t="s">
        <v>32</v>
      </c>
      <c r="F24" s="17">
        <f t="shared" si="1"/>
        <v>20988</v>
      </c>
      <c r="G24" s="17">
        <f t="shared" si="0"/>
        <v>62964</v>
      </c>
    </row>
    <row r="25" spans="2:7" x14ac:dyDescent="0.3">
      <c r="B25" s="110" t="s">
        <v>93</v>
      </c>
      <c r="C25" s="39"/>
      <c r="D25" s="39"/>
      <c r="E25" s="39"/>
      <c r="F25" s="40"/>
      <c r="G25" s="111">
        <f>SUM(G19:G24)</f>
        <v>797544</v>
      </c>
    </row>
    <row r="26" spans="2:7" x14ac:dyDescent="0.3">
      <c r="B26" s="1"/>
      <c r="C26" s="18"/>
      <c r="D26" s="18"/>
      <c r="E26" s="18"/>
      <c r="F26" s="1"/>
      <c r="G26" s="1"/>
    </row>
    <row r="27" spans="2:7" x14ac:dyDescent="0.3">
      <c r="B27" s="41" t="s">
        <v>36</v>
      </c>
      <c r="C27" s="42"/>
      <c r="D27" s="43"/>
      <c r="E27" s="43"/>
      <c r="F27" s="44"/>
      <c r="G27" s="45"/>
    </row>
    <row r="28" spans="2:7" ht="24" x14ac:dyDescent="0.3">
      <c r="B28" s="46" t="s">
        <v>20</v>
      </c>
      <c r="C28" s="47" t="s">
        <v>21</v>
      </c>
      <c r="D28" s="47" t="s">
        <v>22</v>
      </c>
      <c r="E28" s="46" t="s">
        <v>94</v>
      </c>
      <c r="F28" s="47" t="s">
        <v>37</v>
      </c>
      <c r="G28" s="46" t="s">
        <v>23</v>
      </c>
    </row>
    <row r="29" spans="2:7" x14ac:dyDescent="0.3">
      <c r="B29" s="48"/>
      <c r="C29" s="49" t="s">
        <v>94</v>
      </c>
      <c r="D29" s="49" t="s">
        <v>94</v>
      </c>
      <c r="E29" s="49" t="s">
        <v>94</v>
      </c>
      <c r="F29" s="50" t="s">
        <v>94</v>
      </c>
      <c r="G29" s="51"/>
    </row>
    <row r="30" spans="2:7" x14ac:dyDescent="0.3">
      <c r="B30" s="52" t="s">
        <v>38</v>
      </c>
      <c r="C30" s="53"/>
      <c r="D30" s="53"/>
      <c r="E30" s="53"/>
      <c r="F30" s="54"/>
      <c r="G30" s="55"/>
    </row>
    <row r="31" spans="2:7" x14ac:dyDescent="0.3">
      <c r="B31" s="1"/>
      <c r="C31" s="18"/>
      <c r="D31" s="18"/>
      <c r="E31" s="18"/>
      <c r="F31" s="1"/>
      <c r="G31" s="1"/>
    </row>
    <row r="32" spans="2:7" x14ac:dyDescent="0.3">
      <c r="B32" s="41" t="s">
        <v>39</v>
      </c>
      <c r="C32" s="42"/>
      <c r="D32" s="43"/>
      <c r="E32" s="43"/>
      <c r="F32" s="44"/>
      <c r="G32" s="45"/>
    </row>
    <row r="33" spans="2:8" ht="24" x14ac:dyDescent="0.3">
      <c r="B33" s="56" t="s">
        <v>20</v>
      </c>
      <c r="C33" s="56" t="s">
        <v>21</v>
      </c>
      <c r="D33" s="56" t="s">
        <v>22</v>
      </c>
      <c r="E33" s="56" t="s">
        <v>72</v>
      </c>
      <c r="F33" s="57" t="s">
        <v>37</v>
      </c>
      <c r="G33" s="56" t="s">
        <v>23</v>
      </c>
    </row>
    <row r="34" spans="2:8" x14ac:dyDescent="0.3">
      <c r="B34" s="14" t="s">
        <v>88</v>
      </c>
      <c r="C34" s="32" t="s">
        <v>110</v>
      </c>
      <c r="D34" s="15">
        <v>6.82</v>
      </c>
      <c r="E34" s="16" t="s">
        <v>89</v>
      </c>
      <c r="F34" s="17">
        <v>176000</v>
      </c>
      <c r="G34" s="17">
        <f>(D34*F34)</f>
        <v>1200320</v>
      </c>
    </row>
    <row r="35" spans="2:8" x14ac:dyDescent="0.3">
      <c r="B35" s="112" t="s">
        <v>40</v>
      </c>
      <c r="C35" s="58"/>
      <c r="D35" s="58"/>
      <c r="E35" s="58"/>
      <c r="F35" s="58"/>
      <c r="G35" s="113">
        <f>SUM(G34)</f>
        <v>1200320</v>
      </c>
    </row>
    <row r="36" spans="2:8" x14ac:dyDescent="0.3">
      <c r="B36" s="1"/>
      <c r="C36" s="18"/>
      <c r="D36" s="18"/>
      <c r="E36" s="18"/>
      <c r="F36" s="1"/>
      <c r="G36" s="1"/>
    </row>
    <row r="37" spans="2:8" x14ac:dyDescent="0.3">
      <c r="B37" s="41" t="s">
        <v>41</v>
      </c>
      <c r="C37" s="42"/>
      <c r="D37" s="43"/>
      <c r="E37" s="43"/>
      <c r="F37" s="44"/>
      <c r="G37" s="45"/>
    </row>
    <row r="38" spans="2:8" ht="24" x14ac:dyDescent="0.3">
      <c r="B38" s="59" t="s">
        <v>42</v>
      </c>
      <c r="C38" s="59" t="s">
        <v>95</v>
      </c>
      <c r="D38" s="59" t="s">
        <v>96</v>
      </c>
      <c r="E38" s="59" t="s">
        <v>72</v>
      </c>
      <c r="F38" s="59" t="s">
        <v>37</v>
      </c>
      <c r="G38" s="60" t="s">
        <v>23</v>
      </c>
    </row>
    <row r="39" spans="2:8" x14ac:dyDescent="0.3">
      <c r="B39" s="14" t="s">
        <v>43</v>
      </c>
      <c r="C39" s="15" t="s">
        <v>44</v>
      </c>
      <c r="D39" s="19">
        <v>100</v>
      </c>
      <c r="E39" s="16" t="s">
        <v>45</v>
      </c>
      <c r="F39" s="20">
        <f>(700*1.1)</f>
        <v>770.00000000000011</v>
      </c>
      <c r="G39" s="17">
        <f>+F39*D39</f>
        <v>77000.000000000015</v>
      </c>
    </row>
    <row r="40" spans="2:8" x14ac:dyDescent="0.3">
      <c r="B40" s="14" t="s">
        <v>46</v>
      </c>
      <c r="C40" s="15" t="s">
        <v>44</v>
      </c>
      <c r="D40" s="19">
        <v>45</v>
      </c>
      <c r="E40" s="16" t="s">
        <v>47</v>
      </c>
      <c r="F40" s="20">
        <f>(1000)*1.1</f>
        <v>1100</v>
      </c>
      <c r="G40" s="17">
        <f>+F40*D40</f>
        <v>49500</v>
      </c>
    </row>
    <row r="41" spans="2:8" x14ac:dyDescent="0.3">
      <c r="B41" s="14" t="s">
        <v>48</v>
      </c>
      <c r="C41" s="15" t="s">
        <v>21</v>
      </c>
      <c r="D41" s="19">
        <v>50</v>
      </c>
      <c r="E41" s="16" t="s">
        <v>49</v>
      </c>
      <c r="F41" s="20">
        <f>(8000*1.1)</f>
        <v>8800</v>
      </c>
      <c r="G41" s="17">
        <f>+F41*D41</f>
        <v>440000</v>
      </c>
      <c r="H41" s="29"/>
    </row>
    <row r="42" spans="2:8" x14ac:dyDescent="0.3">
      <c r="B42" s="21" t="s">
        <v>50</v>
      </c>
      <c r="C42" s="16"/>
      <c r="D42" s="22"/>
      <c r="E42" s="16"/>
      <c r="F42" s="23"/>
      <c r="G42" s="23"/>
    </row>
    <row r="43" spans="2:8" x14ac:dyDescent="0.3">
      <c r="B43" s="24" t="s">
        <v>51</v>
      </c>
      <c r="C43" s="16" t="s">
        <v>44</v>
      </c>
      <c r="D43" s="22">
        <v>10</v>
      </c>
      <c r="E43" s="16" t="s">
        <v>52</v>
      </c>
      <c r="F43" s="23">
        <f>(361*1.1)</f>
        <v>397.1</v>
      </c>
      <c r="G43" s="23">
        <f>+F43*D43</f>
        <v>3971</v>
      </c>
    </row>
    <row r="44" spans="2:8" x14ac:dyDescent="0.3">
      <c r="B44" s="24" t="s">
        <v>53</v>
      </c>
      <c r="C44" s="16" t="s">
        <v>44</v>
      </c>
      <c r="D44" s="25">
        <v>100</v>
      </c>
      <c r="E44" s="16" t="s">
        <v>34</v>
      </c>
      <c r="F44" s="23">
        <f>(474*1.1)</f>
        <v>521.40000000000009</v>
      </c>
      <c r="G44" s="23">
        <f>+F44*D44</f>
        <v>52140.000000000007</v>
      </c>
    </row>
    <row r="45" spans="2:8" x14ac:dyDescent="0.3">
      <c r="B45" s="24" t="s">
        <v>54</v>
      </c>
      <c r="C45" s="16" t="s">
        <v>44</v>
      </c>
      <c r="D45" s="25">
        <v>369</v>
      </c>
      <c r="E45" s="16" t="s">
        <v>55</v>
      </c>
      <c r="F45" s="23">
        <f>(412*1.1)</f>
        <v>453.20000000000005</v>
      </c>
      <c r="G45" s="23">
        <f>+F45*D45</f>
        <v>167230.80000000002</v>
      </c>
    </row>
    <row r="46" spans="2:8" x14ac:dyDescent="0.3">
      <c r="B46" s="24" t="s">
        <v>56</v>
      </c>
      <c r="C46" s="16" t="s">
        <v>44</v>
      </c>
      <c r="D46" s="25">
        <v>200</v>
      </c>
      <c r="E46" s="16" t="s">
        <v>57</v>
      </c>
      <c r="F46" s="23">
        <f>(618*1.1)</f>
        <v>679.80000000000007</v>
      </c>
      <c r="G46" s="23">
        <f>+F46*D46</f>
        <v>135960</v>
      </c>
    </row>
    <row r="47" spans="2:8" x14ac:dyDescent="0.3">
      <c r="B47" s="21" t="s">
        <v>58</v>
      </c>
      <c r="C47" s="16"/>
      <c r="D47" s="22"/>
      <c r="E47" s="16"/>
      <c r="F47" s="23"/>
      <c r="G47" s="23"/>
    </row>
    <row r="48" spans="2:8" x14ac:dyDescent="0.3">
      <c r="B48" s="24" t="s">
        <v>59</v>
      </c>
      <c r="C48" s="16" t="s">
        <v>60</v>
      </c>
      <c r="D48" s="22">
        <v>6.2</v>
      </c>
      <c r="E48" s="16" t="s">
        <v>17</v>
      </c>
      <c r="F48" s="17">
        <f>(17000*1.1)</f>
        <v>18700</v>
      </c>
      <c r="G48" s="23">
        <f>+D48*F48</f>
        <v>115940</v>
      </c>
    </row>
    <row r="49" spans="2:8" x14ac:dyDescent="0.3">
      <c r="B49" s="24" t="s">
        <v>61</v>
      </c>
      <c r="C49" s="16" t="s">
        <v>62</v>
      </c>
      <c r="D49" s="22">
        <v>1800</v>
      </c>
      <c r="E49" s="16" t="s">
        <v>17</v>
      </c>
      <c r="F49" s="23">
        <f>(206*1.1)</f>
        <v>226.60000000000002</v>
      </c>
      <c r="G49" s="23">
        <f t="shared" ref="G49:G54" si="2">+D49*F49</f>
        <v>407880.00000000006</v>
      </c>
    </row>
    <row r="50" spans="2:8" x14ac:dyDescent="0.3">
      <c r="B50" s="24" t="s">
        <v>63</v>
      </c>
      <c r="C50" s="16" t="s">
        <v>60</v>
      </c>
      <c r="D50" s="22">
        <v>5</v>
      </c>
      <c r="E50" s="16" t="s">
        <v>17</v>
      </c>
      <c r="F50" s="17">
        <f>(17000*1.1)</f>
        <v>18700</v>
      </c>
      <c r="G50" s="23">
        <f t="shared" si="2"/>
        <v>93500</v>
      </c>
    </row>
    <row r="51" spans="2:8" x14ac:dyDescent="0.3">
      <c r="B51" s="24" t="s">
        <v>64</v>
      </c>
      <c r="C51" s="16" t="s">
        <v>21</v>
      </c>
      <c r="D51" s="22">
        <v>100</v>
      </c>
      <c r="E51" s="16" t="s">
        <v>65</v>
      </c>
      <c r="F51" s="23">
        <f>(1545*1.1)</f>
        <v>1699.5000000000002</v>
      </c>
      <c r="G51" s="23">
        <f t="shared" si="2"/>
        <v>169950.00000000003</v>
      </c>
      <c r="H51" s="29"/>
    </row>
    <row r="52" spans="2:8" x14ac:dyDescent="0.3">
      <c r="B52" s="24" t="s">
        <v>66</v>
      </c>
      <c r="C52" s="16" t="s">
        <v>67</v>
      </c>
      <c r="D52" s="22">
        <v>3</v>
      </c>
      <c r="E52" s="16" t="s">
        <v>34</v>
      </c>
      <c r="F52" s="23">
        <f>(80000*1.1)</f>
        <v>88000</v>
      </c>
      <c r="G52" s="23">
        <f t="shared" si="2"/>
        <v>264000</v>
      </c>
    </row>
    <row r="53" spans="2:8" x14ac:dyDescent="0.3">
      <c r="B53" s="24" t="s">
        <v>68</v>
      </c>
      <c r="C53" s="16" t="s">
        <v>21</v>
      </c>
      <c r="D53" s="22">
        <v>3</v>
      </c>
      <c r="E53" s="16" t="s">
        <v>34</v>
      </c>
      <c r="F53" s="23">
        <f>(50000*1.1)</f>
        <v>55000.000000000007</v>
      </c>
      <c r="G53" s="23">
        <f t="shared" si="2"/>
        <v>165000.00000000003</v>
      </c>
    </row>
    <row r="54" spans="2:8" x14ac:dyDescent="0.3">
      <c r="B54" s="24" t="s">
        <v>69</v>
      </c>
      <c r="C54" s="16" t="s">
        <v>21</v>
      </c>
      <c r="D54" s="22">
        <v>2</v>
      </c>
      <c r="E54" s="16" t="s">
        <v>32</v>
      </c>
      <c r="F54" s="23">
        <f>(55000*1.1)</f>
        <v>60500.000000000007</v>
      </c>
      <c r="G54" s="23">
        <f t="shared" si="2"/>
        <v>121000.00000000001</v>
      </c>
    </row>
    <row r="55" spans="2:8" x14ac:dyDescent="0.3">
      <c r="B55" s="61" t="s">
        <v>97</v>
      </c>
      <c r="C55" s="62"/>
      <c r="D55" s="62"/>
      <c r="E55" s="62"/>
      <c r="F55" s="63"/>
      <c r="G55" s="64">
        <f>SUM(G39:G54)</f>
        <v>2263071.8000000003</v>
      </c>
    </row>
    <row r="56" spans="2:8" x14ac:dyDescent="0.3">
      <c r="B56" s="1"/>
      <c r="C56" s="18"/>
      <c r="D56" s="18"/>
      <c r="E56" s="18"/>
      <c r="F56" s="1"/>
      <c r="G56" s="1"/>
    </row>
    <row r="57" spans="2:8" x14ac:dyDescent="0.3">
      <c r="B57" s="41" t="s">
        <v>70</v>
      </c>
      <c r="C57" s="42"/>
      <c r="D57" s="43"/>
      <c r="E57" s="43"/>
      <c r="F57" s="44"/>
      <c r="G57" s="45"/>
    </row>
    <row r="58" spans="2:8" ht="24" x14ac:dyDescent="0.3">
      <c r="B58" s="65" t="s">
        <v>71</v>
      </c>
      <c r="C58" s="59" t="s">
        <v>95</v>
      </c>
      <c r="D58" s="59" t="s">
        <v>96</v>
      </c>
      <c r="E58" s="65" t="s">
        <v>72</v>
      </c>
      <c r="F58" s="59" t="s">
        <v>37</v>
      </c>
      <c r="G58" s="65" t="s">
        <v>23</v>
      </c>
    </row>
    <row r="59" spans="2:8" x14ac:dyDescent="0.3">
      <c r="B59" s="66" t="s">
        <v>94</v>
      </c>
      <c r="C59" s="67" t="s">
        <v>94</v>
      </c>
      <c r="D59" s="67" t="s">
        <v>94</v>
      </c>
      <c r="E59" s="68" t="s">
        <v>94</v>
      </c>
      <c r="F59" s="69" t="s">
        <v>94</v>
      </c>
      <c r="G59" s="69"/>
    </row>
    <row r="60" spans="2:8" x14ac:dyDescent="0.3">
      <c r="B60" s="70" t="s">
        <v>73</v>
      </c>
      <c r="C60" s="71"/>
      <c r="D60" s="71"/>
      <c r="E60" s="72"/>
      <c r="F60" s="73"/>
      <c r="G60" s="74"/>
    </row>
    <row r="61" spans="2:8" x14ac:dyDescent="0.3">
      <c r="B61" s="75"/>
      <c r="C61" s="75"/>
      <c r="D61" s="75"/>
      <c r="E61" s="75"/>
      <c r="F61" s="76"/>
      <c r="G61" s="77"/>
    </row>
    <row r="62" spans="2:8" x14ac:dyDescent="0.3">
      <c r="B62" s="78" t="s">
        <v>74</v>
      </c>
      <c r="C62" s="79"/>
      <c r="D62" s="79"/>
      <c r="E62" s="79"/>
      <c r="F62" s="79"/>
      <c r="G62" s="80">
        <f>G55+G35+G30+G25</f>
        <v>4260935.8000000007</v>
      </c>
    </row>
    <row r="63" spans="2:8" x14ac:dyDescent="0.3">
      <c r="B63" s="81" t="s">
        <v>75</v>
      </c>
      <c r="C63" s="82"/>
      <c r="D63" s="82"/>
      <c r="E63" s="82"/>
      <c r="F63" s="82"/>
      <c r="G63" s="83">
        <f>G62*0.05</f>
        <v>213046.79000000004</v>
      </c>
    </row>
    <row r="64" spans="2:8" x14ac:dyDescent="0.3">
      <c r="B64" s="84" t="s">
        <v>76</v>
      </c>
      <c r="C64" s="85"/>
      <c r="D64" s="85"/>
      <c r="E64" s="85"/>
      <c r="F64" s="85"/>
      <c r="G64" s="86">
        <f>G63+G62</f>
        <v>4473982.5900000008</v>
      </c>
    </row>
    <row r="65" spans="2:7" x14ac:dyDescent="0.3">
      <c r="B65" s="81" t="s">
        <v>77</v>
      </c>
      <c r="C65" s="82"/>
      <c r="D65" s="82"/>
      <c r="E65" s="82"/>
      <c r="F65" s="82"/>
      <c r="G65" s="83">
        <f>G10</f>
        <v>6750000</v>
      </c>
    </row>
    <row r="66" spans="2:7" x14ac:dyDescent="0.3">
      <c r="B66" s="87" t="s">
        <v>78</v>
      </c>
      <c r="C66" s="88"/>
      <c r="D66" s="88"/>
      <c r="E66" s="88"/>
      <c r="F66" s="88"/>
      <c r="G66" s="80">
        <f>G65-G64</f>
        <v>2276017.4099999992</v>
      </c>
    </row>
    <row r="67" spans="2:7" x14ac:dyDescent="0.3">
      <c r="B67" s="26" t="s">
        <v>79</v>
      </c>
      <c r="C67" s="26"/>
      <c r="D67" s="26"/>
      <c r="E67" s="26"/>
      <c r="F67" s="26"/>
      <c r="G67" s="26"/>
    </row>
    <row r="68" spans="2:7" x14ac:dyDescent="0.3">
      <c r="B68" s="26"/>
      <c r="C68" s="26"/>
      <c r="D68" s="26"/>
      <c r="E68" s="26"/>
      <c r="F68" s="26"/>
      <c r="G68" s="26"/>
    </row>
    <row r="69" spans="2:7" x14ac:dyDescent="0.3">
      <c r="B69" s="26" t="s">
        <v>80</v>
      </c>
      <c r="C69" s="26"/>
      <c r="D69" s="26"/>
      <c r="E69" s="26"/>
      <c r="F69" s="26"/>
      <c r="G69" s="26"/>
    </row>
    <row r="70" spans="2:7" x14ac:dyDescent="0.3">
      <c r="B70" s="26" t="s">
        <v>81</v>
      </c>
      <c r="C70" s="26"/>
      <c r="D70" s="26"/>
      <c r="E70" s="26"/>
      <c r="F70" s="26"/>
      <c r="G70" s="26"/>
    </row>
    <row r="71" spans="2:7" x14ac:dyDescent="0.3">
      <c r="B71" s="26" t="s">
        <v>82</v>
      </c>
      <c r="C71" s="26"/>
      <c r="D71" s="26"/>
      <c r="E71" s="26"/>
      <c r="F71" s="26"/>
      <c r="G71" s="26"/>
    </row>
    <row r="72" spans="2:7" x14ac:dyDescent="0.3">
      <c r="B72" s="26" t="s">
        <v>83</v>
      </c>
      <c r="C72" s="26"/>
      <c r="D72" s="26"/>
      <c r="E72" s="26"/>
      <c r="F72" s="26"/>
      <c r="G72" s="26"/>
    </row>
    <row r="73" spans="2:7" x14ac:dyDescent="0.3">
      <c r="B73" s="26" t="s">
        <v>84</v>
      </c>
      <c r="C73" s="26"/>
      <c r="D73" s="26"/>
      <c r="E73" s="26"/>
      <c r="F73" s="26"/>
      <c r="G73" s="26"/>
    </row>
    <row r="74" spans="2:7" x14ac:dyDescent="0.3">
      <c r="B74" s="26" t="s">
        <v>85</v>
      </c>
      <c r="C74" s="26"/>
      <c r="D74" s="26"/>
      <c r="E74" s="26"/>
      <c r="F74" s="26"/>
      <c r="G74" s="26"/>
    </row>
    <row r="75" spans="2:7" x14ac:dyDescent="0.3">
      <c r="B75" s="26" t="s">
        <v>86</v>
      </c>
      <c r="C75" s="26"/>
      <c r="D75" s="26"/>
      <c r="E75" s="26"/>
      <c r="F75" s="26"/>
      <c r="G75" s="26"/>
    </row>
    <row r="77" spans="2:7" ht="15" thickBot="1" x14ac:dyDescent="0.35">
      <c r="B77" s="115" t="s">
        <v>98</v>
      </c>
      <c r="C77" s="116"/>
      <c r="D77" s="89"/>
      <c r="E77" s="90"/>
    </row>
    <row r="78" spans="2:7" x14ac:dyDescent="0.3">
      <c r="B78" s="91" t="s">
        <v>71</v>
      </c>
      <c r="C78" s="92" t="s">
        <v>99</v>
      </c>
      <c r="D78" s="93" t="s">
        <v>100</v>
      </c>
      <c r="E78" s="90"/>
    </row>
    <row r="79" spans="2:7" x14ac:dyDescent="0.3">
      <c r="B79" s="94" t="s">
        <v>101</v>
      </c>
      <c r="C79" s="95">
        <f>G25</f>
        <v>797544</v>
      </c>
      <c r="D79" s="96">
        <f>(C79/C85)</f>
        <v>0.17826265166579466</v>
      </c>
      <c r="E79" s="90"/>
    </row>
    <row r="80" spans="2:7" x14ac:dyDescent="0.3">
      <c r="B80" s="94" t="s">
        <v>102</v>
      </c>
      <c r="C80" s="95">
        <f>G30</f>
        <v>0</v>
      </c>
      <c r="D80" s="96">
        <v>0</v>
      </c>
      <c r="E80" s="90"/>
    </row>
    <row r="81" spans="2:5" x14ac:dyDescent="0.3">
      <c r="B81" s="94" t="s">
        <v>103</v>
      </c>
      <c r="C81" s="95">
        <f>G35</f>
        <v>1200320</v>
      </c>
      <c r="D81" s="96">
        <f>(C81/C85)</f>
        <v>0.26828892957314787</v>
      </c>
      <c r="E81" s="90"/>
    </row>
    <row r="82" spans="2:5" x14ac:dyDescent="0.3">
      <c r="B82" s="94" t="s">
        <v>42</v>
      </c>
      <c r="C82" s="95">
        <f>G55</f>
        <v>2263071.8000000003</v>
      </c>
      <c r="D82" s="96">
        <f>(C82/C85)</f>
        <v>0.50582937114200976</v>
      </c>
      <c r="E82" s="90"/>
    </row>
    <row r="83" spans="2:5" x14ac:dyDescent="0.3">
      <c r="B83" s="94" t="s">
        <v>104</v>
      </c>
      <c r="C83" s="97">
        <f>G60</f>
        <v>0</v>
      </c>
      <c r="D83" s="96">
        <f>(C83/C85)</f>
        <v>0</v>
      </c>
      <c r="E83" s="98"/>
    </row>
    <row r="84" spans="2:5" x14ac:dyDescent="0.3">
      <c r="B84" s="94" t="s">
        <v>69</v>
      </c>
      <c r="C84" s="97">
        <f>G63</f>
        <v>213046.79000000004</v>
      </c>
      <c r="D84" s="96">
        <f>(C84/C85)</f>
        <v>4.7619047619047616E-2</v>
      </c>
      <c r="E84" s="98"/>
    </row>
    <row r="85" spans="2:5" ht="15" thickBot="1" x14ac:dyDescent="0.35">
      <c r="B85" s="99" t="s">
        <v>105</v>
      </c>
      <c r="C85" s="100">
        <f>SUM(C79:C84)</f>
        <v>4473982.5900000008</v>
      </c>
      <c r="D85" s="101">
        <f>SUM(D79:D84)</f>
        <v>1</v>
      </c>
      <c r="E85" s="98"/>
    </row>
    <row r="86" spans="2:5" x14ac:dyDescent="0.3">
      <c r="B86" s="102"/>
      <c r="C86" s="103"/>
      <c r="D86" s="103"/>
      <c r="E86" s="103"/>
    </row>
    <row r="87" spans="2:5" ht="15" thickBot="1" x14ac:dyDescent="0.35">
      <c r="B87" s="104"/>
      <c r="C87" s="103"/>
      <c r="D87" s="103"/>
      <c r="E87" s="103"/>
    </row>
    <row r="88" spans="2:5" ht="15" thickBot="1" x14ac:dyDescent="0.35">
      <c r="B88" s="117" t="s">
        <v>106</v>
      </c>
      <c r="C88" s="118"/>
      <c r="D88" s="118"/>
      <c r="E88" s="119"/>
    </row>
    <row r="89" spans="2:5" x14ac:dyDescent="0.3">
      <c r="B89" s="105" t="s">
        <v>107</v>
      </c>
      <c r="C89" s="106">
        <v>1200</v>
      </c>
      <c r="D89" s="106">
        <v>1500</v>
      </c>
      <c r="E89" s="106">
        <v>1700</v>
      </c>
    </row>
    <row r="90" spans="2:5" ht="15" thickBot="1" x14ac:dyDescent="0.35">
      <c r="B90" s="99" t="s">
        <v>108</v>
      </c>
      <c r="C90" s="100">
        <f>(G64/C89)</f>
        <v>3728.3188250000007</v>
      </c>
      <c r="D90" s="100">
        <f>(G64/D89)</f>
        <v>2982.6550600000005</v>
      </c>
      <c r="E90" s="107">
        <f>(G64/E89)</f>
        <v>2631.754464705883</v>
      </c>
    </row>
    <row r="91" spans="2:5" x14ac:dyDescent="0.3">
      <c r="B91" s="108" t="s">
        <v>109</v>
      </c>
      <c r="C91" s="109"/>
      <c r="D91" s="109"/>
      <c r="E91" s="109"/>
    </row>
  </sheetData>
  <mergeCells count="10">
    <mergeCell ref="B77:C77"/>
    <mergeCell ref="B88:E88"/>
    <mergeCell ref="E13:F13"/>
    <mergeCell ref="B15:G15"/>
    <mergeCell ref="E7:F7"/>
    <mergeCell ref="E8:F8"/>
    <mergeCell ref="E9:F9"/>
    <mergeCell ref="E10:F10"/>
    <mergeCell ref="E11:F11"/>
    <mergeCell ref="E12:F12"/>
  </mergeCells>
  <pageMargins left="0.7" right="0.7" top="0.75" bottom="0.75" header="0.3" footer="0.3"/>
  <pageSetup paperSize="170" scale="80" orientation="portrait" r:id="rId1"/>
  <ignoredErrors>
    <ignoredError sqref="F4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91"/>
  <sheetViews>
    <sheetView tabSelected="1" zoomScale="110" zoomScaleNormal="110" workbookViewId="0">
      <selection activeCell="C14" sqref="C14"/>
    </sheetView>
  </sheetViews>
  <sheetFormatPr baseColWidth="10" defaultColWidth="11.5546875" defaultRowHeight="14.4" x14ac:dyDescent="0.3"/>
  <cols>
    <col min="1" max="1" width="5.109375" style="3" customWidth="1"/>
    <col min="2" max="2" width="26.6640625" style="3" customWidth="1"/>
    <col min="3" max="3" width="16.77734375" style="3" customWidth="1"/>
    <col min="4" max="4" width="9" style="3" customWidth="1"/>
    <col min="5" max="5" width="12.109375" style="3" bestFit="1" customWidth="1"/>
    <col min="6" max="6" width="12.77734375" style="3" customWidth="1"/>
    <col min="7" max="7" width="26.109375" style="3" customWidth="1"/>
    <col min="8" max="16384" width="11.5546875" style="3"/>
  </cols>
  <sheetData>
    <row r="7" spans="2:7" ht="22.5" customHeight="1" x14ac:dyDescent="0.3">
      <c r="B7" s="33" t="s">
        <v>0</v>
      </c>
      <c r="C7" s="15" t="s">
        <v>1</v>
      </c>
      <c r="D7" s="1"/>
      <c r="E7" s="124" t="s">
        <v>90</v>
      </c>
      <c r="F7" s="125"/>
      <c r="G7" s="2">
        <v>1500</v>
      </c>
    </row>
    <row r="8" spans="2:7" ht="22.5" customHeight="1" x14ac:dyDescent="0.3">
      <c r="B8" s="114" t="s">
        <v>2</v>
      </c>
      <c r="C8" s="27" t="s">
        <v>3</v>
      </c>
      <c r="D8" s="1"/>
      <c r="E8" s="126" t="s">
        <v>4</v>
      </c>
      <c r="F8" s="126"/>
      <c r="G8" s="6" t="s">
        <v>65</v>
      </c>
    </row>
    <row r="9" spans="2:7" x14ac:dyDescent="0.3">
      <c r="B9" s="114" t="s">
        <v>5</v>
      </c>
      <c r="C9" s="15" t="s">
        <v>6</v>
      </c>
      <c r="D9" s="1"/>
      <c r="E9" s="126" t="s">
        <v>7</v>
      </c>
      <c r="F9" s="126"/>
      <c r="G9" s="7">
        <v>4500</v>
      </c>
    </row>
    <row r="10" spans="2:7" x14ac:dyDescent="0.3">
      <c r="B10" s="114" t="s">
        <v>8</v>
      </c>
      <c r="C10" s="15" t="s">
        <v>9</v>
      </c>
      <c r="D10" s="1"/>
      <c r="E10" s="127" t="s">
        <v>10</v>
      </c>
      <c r="F10" s="128"/>
      <c r="G10" s="31">
        <f>+G9*G7</f>
        <v>6750000</v>
      </c>
    </row>
    <row r="11" spans="2:7" x14ac:dyDescent="0.3">
      <c r="B11" s="114" t="s">
        <v>11</v>
      </c>
      <c r="C11" s="15" t="s">
        <v>12</v>
      </c>
      <c r="D11" s="1"/>
      <c r="E11" s="127" t="s">
        <v>13</v>
      </c>
      <c r="F11" s="128"/>
      <c r="G11" s="8" t="s">
        <v>14</v>
      </c>
    </row>
    <row r="12" spans="2:7" x14ac:dyDescent="0.3">
      <c r="B12" s="114" t="s">
        <v>15</v>
      </c>
      <c r="C12" s="16" t="s">
        <v>12</v>
      </c>
      <c r="D12" s="1"/>
      <c r="E12" s="127" t="s">
        <v>16</v>
      </c>
      <c r="F12" s="128"/>
      <c r="G12" s="5" t="s">
        <v>17</v>
      </c>
    </row>
    <row r="13" spans="2:7" ht="38.4" x14ac:dyDescent="0.3">
      <c r="B13" s="114" t="s">
        <v>18</v>
      </c>
      <c r="C13" s="28">
        <v>44713</v>
      </c>
      <c r="D13" s="1"/>
      <c r="E13" s="120" t="s">
        <v>19</v>
      </c>
      <c r="F13" s="121"/>
      <c r="G13" s="30" t="s">
        <v>87</v>
      </c>
    </row>
    <row r="14" spans="2:7" x14ac:dyDescent="0.3">
      <c r="B14" s="9"/>
      <c r="C14" s="10"/>
      <c r="D14" s="1"/>
      <c r="E14" s="1"/>
      <c r="F14" s="1"/>
      <c r="G14" s="11"/>
    </row>
    <row r="15" spans="2:7" x14ac:dyDescent="0.3">
      <c r="B15" s="122" t="s">
        <v>91</v>
      </c>
      <c r="C15" s="123"/>
      <c r="D15" s="123"/>
      <c r="E15" s="123"/>
      <c r="F15" s="123"/>
      <c r="G15" s="123"/>
    </row>
    <row r="16" spans="2:7" x14ac:dyDescent="0.3">
      <c r="B16" s="1"/>
      <c r="C16" s="12"/>
      <c r="D16" s="12"/>
      <c r="E16" s="13"/>
      <c r="F16" s="1"/>
      <c r="G16" s="1"/>
    </row>
    <row r="17" spans="2:7" x14ac:dyDescent="0.3">
      <c r="B17" s="34" t="s">
        <v>92</v>
      </c>
      <c r="C17" s="35"/>
      <c r="D17" s="36"/>
      <c r="E17" s="36"/>
      <c r="F17" s="36"/>
      <c r="G17" s="37"/>
    </row>
    <row r="18" spans="2:7" ht="24" x14ac:dyDescent="0.3">
      <c r="B18" s="38" t="s">
        <v>20</v>
      </c>
      <c r="C18" s="38" t="s">
        <v>21</v>
      </c>
      <c r="D18" s="38" t="s">
        <v>22</v>
      </c>
      <c r="E18" s="38" t="s">
        <v>72</v>
      </c>
      <c r="F18" s="38" t="s">
        <v>37</v>
      </c>
      <c r="G18" s="38" t="s">
        <v>23</v>
      </c>
    </row>
    <row r="19" spans="2:7" x14ac:dyDescent="0.3">
      <c r="B19" s="14" t="s">
        <v>24</v>
      </c>
      <c r="C19" s="15" t="s">
        <v>25</v>
      </c>
      <c r="D19" s="15">
        <v>5</v>
      </c>
      <c r="E19" s="16" t="s">
        <v>26</v>
      </c>
      <c r="F19" s="17">
        <v>26000</v>
      </c>
      <c r="G19" s="17">
        <f t="shared" ref="G19:G24" si="0">F19*D19</f>
        <v>130000</v>
      </c>
    </row>
    <row r="20" spans="2:7" x14ac:dyDescent="0.3">
      <c r="B20" s="14" t="s">
        <v>27</v>
      </c>
      <c r="C20" s="15" t="s">
        <v>25</v>
      </c>
      <c r="D20" s="15">
        <v>5</v>
      </c>
      <c r="E20" s="16" t="s">
        <v>28</v>
      </c>
      <c r="F20" s="17">
        <v>26000</v>
      </c>
      <c r="G20" s="17">
        <f t="shared" si="0"/>
        <v>130000</v>
      </c>
    </row>
    <row r="21" spans="2:7" x14ac:dyDescent="0.3">
      <c r="B21" s="14" t="s">
        <v>29</v>
      </c>
      <c r="C21" s="15" t="s">
        <v>25</v>
      </c>
      <c r="D21" s="15">
        <v>15</v>
      </c>
      <c r="E21" s="16" t="s">
        <v>30</v>
      </c>
      <c r="F21" s="17">
        <v>26000</v>
      </c>
      <c r="G21" s="17">
        <f t="shared" si="0"/>
        <v>390000</v>
      </c>
    </row>
    <row r="22" spans="2:7" x14ac:dyDescent="0.3">
      <c r="B22" s="14" t="s">
        <v>31</v>
      </c>
      <c r="C22" s="15" t="s">
        <v>25</v>
      </c>
      <c r="D22" s="15">
        <v>5</v>
      </c>
      <c r="E22" s="16" t="s">
        <v>32</v>
      </c>
      <c r="F22" s="17">
        <v>26000</v>
      </c>
      <c r="G22" s="17">
        <f t="shared" si="0"/>
        <v>130000</v>
      </c>
    </row>
    <row r="23" spans="2:7" x14ac:dyDescent="0.3">
      <c r="B23" s="14" t="s">
        <v>33</v>
      </c>
      <c r="C23" s="15" t="s">
        <v>25</v>
      </c>
      <c r="D23" s="15">
        <v>5</v>
      </c>
      <c r="E23" s="16" t="s">
        <v>34</v>
      </c>
      <c r="F23" s="17">
        <v>26000</v>
      </c>
      <c r="G23" s="17">
        <f t="shared" si="0"/>
        <v>130000</v>
      </c>
    </row>
    <row r="24" spans="2:7" x14ac:dyDescent="0.3">
      <c r="B24" s="14" t="s">
        <v>35</v>
      </c>
      <c r="C24" s="15" t="s">
        <v>25</v>
      </c>
      <c r="D24" s="15">
        <v>3</v>
      </c>
      <c r="E24" s="16" t="s">
        <v>32</v>
      </c>
      <c r="F24" s="17">
        <v>26000</v>
      </c>
      <c r="G24" s="17">
        <f t="shared" si="0"/>
        <v>78000</v>
      </c>
    </row>
    <row r="25" spans="2:7" x14ac:dyDescent="0.3">
      <c r="B25" s="110" t="s">
        <v>93</v>
      </c>
      <c r="C25" s="39"/>
      <c r="D25" s="39"/>
      <c r="E25" s="39"/>
      <c r="F25" s="40"/>
      <c r="G25" s="111">
        <f>SUM(G19:G24)</f>
        <v>988000</v>
      </c>
    </row>
    <row r="26" spans="2:7" x14ac:dyDescent="0.3">
      <c r="B26" s="1"/>
      <c r="C26" s="18"/>
      <c r="D26" s="18"/>
      <c r="E26" s="18"/>
      <c r="F26" s="1"/>
      <c r="G26" s="1"/>
    </row>
    <row r="27" spans="2:7" x14ac:dyDescent="0.3">
      <c r="B27" s="41" t="s">
        <v>36</v>
      </c>
      <c r="C27" s="42"/>
      <c r="D27" s="43"/>
      <c r="E27" s="43"/>
      <c r="F27" s="44"/>
      <c r="G27" s="45"/>
    </row>
    <row r="28" spans="2:7" ht="24" x14ac:dyDescent="0.3">
      <c r="B28" s="46" t="s">
        <v>20</v>
      </c>
      <c r="C28" s="47" t="s">
        <v>21</v>
      </c>
      <c r="D28" s="47" t="s">
        <v>22</v>
      </c>
      <c r="E28" s="46" t="s">
        <v>94</v>
      </c>
      <c r="F28" s="47" t="s">
        <v>37</v>
      </c>
      <c r="G28" s="46" t="s">
        <v>23</v>
      </c>
    </row>
    <row r="29" spans="2:7" x14ac:dyDescent="0.3">
      <c r="B29" s="48"/>
      <c r="C29" s="49" t="s">
        <v>94</v>
      </c>
      <c r="D29" s="49" t="s">
        <v>94</v>
      </c>
      <c r="E29" s="49" t="s">
        <v>94</v>
      </c>
      <c r="F29" s="50" t="s">
        <v>94</v>
      </c>
      <c r="G29" s="51"/>
    </row>
    <row r="30" spans="2:7" x14ac:dyDescent="0.3">
      <c r="B30" s="52" t="s">
        <v>38</v>
      </c>
      <c r="C30" s="53"/>
      <c r="D30" s="53"/>
      <c r="E30" s="53"/>
      <c r="F30" s="54"/>
      <c r="G30" s="55"/>
    </row>
    <row r="31" spans="2:7" x14ac:dyDescent="0.3">
      <c r="B31" s="1"/>
      <c r="C31" s="18"/>
      <c r="D31" s="18"/>
      <c r="E31" s="18"/>
      <c r="F31" s="1"/>
      <c r="G31" s="1"/>
    </row>
    <row r="32" spans="2:7" x14ac:dyDescent="0.3">
      <c r="B32" s="41" t="s">
        <v>39</v>
      </c>
      <c r="C32" s="42"/>
      <c r="D32" s="43"/>
      <c r="E32" s="43"/>
      <c r="F32" s="44"/>
      <c r="G32" s="45"/>
    </row>
    <row r="33" spans="2:9" ht="24" x14ac:dyDescent="0.3">
      <c r="B33" s="56" t="s">
        <v>20</v>
      </c>
      <c r="C33" s="56" t="s">
        <v>21</v>
      </c>
      <c r="D33" s="56" t="s">
        <v>22</v>
      </c>
      <c r="E33" s="56" t="s">
        <v>72</v>
      </c>
      <c r="F33" s="57" t="s">
        <v>37</v>
      </c>
      <c r="G33" s="56" t="s">
        <v>23</v>
      </c>
    </row>
    <row r="34" spans="2:9" x14ac:dyDescent="0.3">
      <c r="B34" s="14" t="s">
        <v>88</v>
      </c>
      <c r="C34" s="32" t="s">
        <v>110</v>
      </c>
      <c r="D34" s="15">
        <v>6.82</v>
      </c>
      <c r="E34" s="16" t="s">
        <v>89</v>
      </c>
      <c r="F34" s="17">
        <v>180000</v>
      </c>
      <c r="G34" s="17">
        <f>(D34*F34)</f>
        <v>1227600</v>
      </c>
    </row>
    <row r="35" spans="2:9" x14ac:dyDescent="0.3">
      <c r="B35" s="112" t="s">
        <v>40</v>
      </c>
      <c r="C35" s="58"/>
      <c r="D35" s="58"/>
      <c r="E35" s="58"/>
      <c r="F35" s="58"/>
      <c r="G35" s="113">
        <f>SUM(G34)</f>
        <v>1227600</v>
      </c>
    </row>
    <row r="36" spans="2:9" x14ac:dyDescent="0.3">
      <c r="B36" s="1"/>
      <c r="C36" s="18"/>
      <c r="D36" s="18"/>
      <c r="E36" s="18"/>
      <c r="F36" s="1"/>
      <c r="G36" s="1"/>
    </row>
    <row r="37" spans="2:9" x14ac:dyDescent="0.3">
      <c r="B37" s="41" t="s">
        <v>41</v>
      </c>
      <c r="C37" s="42"/>
      <c r="D37" s="43"/>
      <c r="E37" s="43"/>
      <c r="F37" s="44"/>
      <c r="G37" s="45"/>
    </row>
    <row r="38" spans="2:9" ht="24" x14ac:dyDescent="0.3">
      <c r="B38" s="59" t="s">
        <v>42</v>
      </c>
      <c r="C38" s="59" t="s">
        <v>95</v>
      </c>
      <c r="D38" s="59" t="s">
        <v>96</v>
      </c>
      <c r="E38" s="59" t="s">
        <v>72</v>
      </c>
      <c r="F38" s="59" t="s">
        <v>37</v>
      </c>
      <c r="G38" s="60" t="s">
        <v>23</v>
      </c>
    </row>
    <row r="39" spans="2:9" x14ac:dyDescent="0.3">
      <c r="B39" s="14" t="s">
        <v>43</v>
      </c>
      <c r="C39" s="15" t="s">
        <v>44</v>
      </c>
      <c r="D39" s="19">
        <v>100</v>
      </c>
      <c r="E39" s="16" t="s">
        <v>45</v>
      </c>
      <c r="F39" s="20">
        <f>Apicultura!F39*'Al 22.06.22'!$I$39</f>
        <v>804.65000000000009</v>
      </c>
      <c r="G39" s="17">
        <f>+F39*D39</f>
        <v>80465.000000000015</v>
      </c>
      <c r="I39" s="3">
        <v>1.0449999999999999</v>
      </c>
    </row>
    <row r="40" spans="2:9" x14ac:dyDescent="0.3">
      <c r="B40" s="14" t="s">
        <v>46</v>
      </c>
      <c r="C40" s="15" t="s">
        <v>44</v>
      </c>
      <c r="D40" s="19">
        <v>45</v>
      </c>
      <c r="E40" s="16" t="s">
        <v>47</v>
      </c>
      <c r="F40" s="20">
        <f>Apicultura!F40*'Al 22.06.22'!$I$39</f>
        <v>1149.5</v>
      </c>
      <c r="G40" s="17">
        <f>+F40*D40</f>
        <v>51727.5</v>
      </c>
    </row>
    <row r="41" spans="2:9" x14ac:dyDescent="0.3">
      <c r="B41" s="14" t="s">
        <v>48</v>
      </c>
      <c r="C41" s="15" t="s">
        <v>21</v>
      </c>
      <c r="D41" s="19">
        <v>50</v>
      </c>
      <c r="E41" s="16" t="s">
        <v>49</v>
      </c>
      <c r="F41" s="20">
        <f>Apicultura!F41*'Al 22.06.22'!$I$39</f>
        <v>9196</v>
      </c>
      <c r="G41" s="17">
        <f>+F41*D41</f>
        <v>459800</v>
      </c>
      <c r="H41" s="29"/>
    </row>
    <row r="42" spans="2:9" x14ac:dyDescent="0.3">
      <c r="B42" s="21" t="s">
        <v>50</v>
      </c>
      <c r="C42" s="16"/>
      <c r="D42" s="22"/>
      <c r="E42" s="16"/>
      <c r="F42" s="20">
        <f>Apicultura!F42*'Al 22.06.22'!$I$39</f>
        <v>0</v>
      </c>
      <c r="G42" s="23"/>
    </row>
    <row r="43" spans="2:9" x14ac:dyDescent="0.3">
      <c r="B43" s="24" t="s">
        <v>51</v>
      </c>
      <c r="C43" s="16" t="s">
        <v>44</v>
      </c>
      <c r="D43" s="22">
        <v>10</v>
      </c>
      <c r="E43" s="16" t="s">
        <v>52</v>
      </c>
      <c r="F43" s="20">
        <f>Apicultura!F43*'Al 22.06.22'!$I$39</f>
        <v>414.96949999999998</v>
      </c>
      <c r="G43" s="23">
        <f>+F43*D43</f>
        <v>4149.6949999999997</v>
      </c>
    </row>
    <row r="44" spans="2:9" x14ac:dyDescent="0.3">
      <c r="B44" s="24" t="s">
        <v>53</v>
      </c>
      <c r="C44" s="16" t="s">
        <v>44</v>
      </c>
      <c r="D44" s="25">
        <v>100</v>
      </c>
      <c r="E44" s="16" t="s">
        <v>34</v>
      </c>
      <c r="F44" s="20">
        <f>Apicultura!F44*'Al 22.06.22'!$I$39</f>
        <v>544.86300000000006</v>
      </c>
      <c r="G44" s="23">
        <f>+F44*D44</f>
        <v>54486.3</v>
      </c>
    </row>
    <row r="45" spans="2:9" x14ac:dyDescent="0.3">
      <c r="B45" s="24" t="s">
        <v>54</v>
      </c>
      <c r="C45" s="16" t="s">
        <v>44</v>
      </c>
      <c r="D45" s="25">
        <v>369</v>
      </c>
      <c r="E45" s="16" t="s">
        <v>55</v>
      </c>
      <c r="F45" s="20">
        <f>Apicultura!F45*'Al 22.06.22'!$I$39</f>
        <v>473.59399999999999</v>
      </c>
      <c r="G45" s="23">
        <f>+F45*D45</f>
        <v>174756.18599999999</v>
      </c>
    </row>
    <row r="46" spans="2:9" x14ac:dyDescent="0.3">
      <c r="B46" s="24" t="s">
        <v>56</v>
      </c>
      <c r="C46" s="16" t="s">
        <v>44</v>
      </c>
      <c r="D46" s="25">
        <v>200</v>
      </c>
      <c r="E46" s="16" t="s">
        <v>57</v>
      </c>
      <c r="F46" s="20">
        <f>Apicultura!F46*'Al 22.06.22'!$I$39</f>
        <v>710.39100000000008</v>
      </c>
      <c r="G46" s="23">
        <f>+F46*D46</f>
        <v>142078.20000000001</v>
      </c>
    </row>
    <row r="47" spans="2:9" x14ac:dyDescent="0.3">
      <c r="B47" s="21" t="s">
        <v>58</v>
      </c>
      <c r="C47" s="16"/>
      <c r="D47" s="22"/>
      <c r="E47" s="16"/>
      <c r="F47" s="20">
        <f>Apicultura!F47*'Al 22.06.22'!$I$39</f>
        <v>0</v>
      </c>
      <c r="G47" s="23"/>
    </row>
    <row r="48" spans="2:9" x14ac:dyDescent="0.3">
      <c r="B48" s="24" t="s">
        <v>59</v>
      </c>
      <c r="C48" s="16" t="s">
        <v>60</v>
      </c>
      <c r="D48" s="22">
        <v>6.2</v>
      </c>
      <c r="E48" s="16" t="s">
        <v>17</v>
      </c>
      <c r="F48" s="20">
        <f>Apicultura!F48*'Al 22.06.22'!$I$39</f>
        <v>19541.5</v>
      </c>
      <c r="G48" s="23">
        <f>+D48*F48</f>
        <v>121157.3</v>
      </c>
    </row>
    <row r="49" spans="2:8" x14ac:dyDescent="0.3">
      <c r="B49" s="24" t="s">
        <v>61</v>
      </c>
      <c r="C49" s="16" t="s">
        <v>62</v>
      </c>
      <c r="D49" s="22">
        <v>1800</v>
      </c>
      <c r="E49" s="16" t="s">
        <v>17</v>
      </c>
      <c r="F49" s="20">
        <f>Apicultura!F49*'Al 22.06.22'!$I$39</f>
        <v>236.797</v>
      </c>
      <c r="G49" s="23">
        <f t="shared" ref="G49:G54" si="1">+D49*F49</f>
        <v>426234.6</v>
      </c>
    </row>
    <row r="50" spans="2:8" x14ac:dyDescent="0.3">
      <c r="B50" s="24" t="s">
        <v>63</v>
      </c>
      <c r="C50" s="16" t="s">
        <v>60</v>
      </c>
      <c r="D50" s="22">
        <v>5</v>
      </c>
      <c r="E50" s="16" t="s">
        <v>17</v>
      </c>
      <c r="F50" s="20">
        <f>Apicultura!F50*'Al 22.06.22'!$I$39</f>
        <v>19541.5</v>
      </c>
      <c r="G50" s="23">
        <f t="shared" si="1"/>
        <v>97707.5</v>
      </c>
    </row>
    <row r="51" spans="2:8" x14ac:dyDescent="0.3">
      <c r="B51" s="24" t="s">
        <v>64</v>
      </c>
      <c r="C51" s="16" t="s">
        <v>21</v>
      </c>
      <c r="D51" s="22">
        <v>100</v>
      </c>
      <c r="E51" s="16" t="s">
        <v>65</v>
      </c>
      <c r="F51" s="20">
        <f>Apicultura!F51*'Al 22.06.22'!$I$39</f>
        <v>1775.9775000000002</v>
      </c>
      <c r="G51" s="23">
        <f t="shared" si="1"/>
        <v>177597.75000000003</v>
      </c>
      <c r="H51" s="29"/>
    </row>
    <row r="52" spans="2:8" x14ac:dyDescent="0.3">
      <c r="B52" s="24" t="s">
        <v>66</v>
      </c>
      <c r="C52" s="16" t="s">
        <v>67</v>
      </c>
      <c r="D52" s="22">
        <v>3</v>
      </c>
      <c r="E52" s="16" t="s">
        <v>34</v>
      </c>
      <c r="F52" s="20">
        <f>Apicultura!F52*'Al 22.06.22'!$I$39</f>
        <v>91960</v>
      </c>
      <c r="G52" s="23">
        <f t="shared" si="1"/>
        <v>275880</v>
      </c>
    </row>
    <row r="53" spans="2:8" x14ac:dyDescent="0.3">
      <c r="B53" s="24" t="s">
        <v>68</v>
      </c>
      <c r="C53" s="16" t="s">
        <v>21</v>
      </c>
      <c r="D53" s="22">
        <v>3</v>
      </c>
      <c r="E53" s="16" t="s">
        <v>34</v>
      </c>
      <c r="F53" s="20">
        <f>Apicultura!F53*'Al 22.06.22'!$I$39</f>
        <v>57475.000000000007</v>
      </c>
      <c r="G53" s="23">
        <f t="shared" si="1"/>
        <v>172425.00000000003</v>
      </c>
    </row>
    <row r="54" spans="2:8" x14ac:dyDescent="0.3">
      <c r="B54" s="24" t="s">
        <v>69</v>
      </c>
      <c r="C54" s="16" t="s">
        <v>21</v>
      </c>
      <c r="D54" s="22">
        <v>2</v>
      </c>
      <c r="E54" s="16" t="s">
        <v>32</v>
      </c>
      <c r="F54" s="20">
        <f>Apicultura!F54*'Al 22.06.22'!$I$39</f>
        <v>63222.5</v>
      </c>
      <c r="G54" s="23">
        <f t="shared" si="1"/>
        <v>126445</v>
      </c>
    </row>
    <row r="55" spans="2:8" x14ac:dyDescent="0.3">
      <c r="B55" s="61" t="s">
        <v>97</v>
      </c>
      <c r="C55" s="62"/>
      <c r="D55" s="62"/>
      <c r="E55" s="62"/>
      <c r="F55" s="63"/>
      <c r="G55" s="64">
        <f>SUM(G39:G54)</f>
        <v>2364910.031</v>
      </c>
    </row>
    <row r="56" spans="2:8" x14ac:dyDescent="0.3">
      <c r="B56" s="1"/>
      <c r="C56" s="18"/>
      <c r="D56" s="18"/>
      <c r="E56" s="18"/>
      <c r="F56" s="1"/>
      <c r="G56" s="1"/>
    </row>
    <row r="57" spans="2:8" x14ac:dyDescent="0.3">
      <c r="B57" s="41" t="s">
        <v>70</v>
      </c>
      <c r="C57" s="42"/>
      <c r="D57" s="43"/>
      <c r="E57" s="43"/>
      <c r="F57" s="44"/>
      <c r="G57" s="45"/>
    </row>
    <row r="58" spans="2:8" ht="24" x14ac:dyDescent="0.3">
      <c r="B58" s="65" t="s">
        <v>71</v>
      </c>
      <c r="C58" s="59" t="s">
        <v>95</v>
      </c>
      <c r="D58" s="59" t="s">
        <v>96</v>
      </c>
      <c r="E58" s="65" t="s">
        <v>72</v>
      </c>
      <c r="F58" s="59" t="s">
        <v>37</v>
      </c>
      <c r="G58" s="65" t="s">
        <v>23</v>
      </c>
    </row>
    <row r="59" spans="2:8" x14ac:dyDescent="0.3">
      <c r="B59" s="66" t="s">
        <v>94</v>
      </c>
      <c r="C59" s="67" t="s">
        <v>94</v>
      </c>
      <c r="D59" s="67" t="s">
        <v>94</v>
      </c>
      <c r="E59" s="68" t="s">
        <v>94</v>
      </c>
      <c r="F59" s="69" t="s">
        <v>94</v>
      </c>
      <c r="G59" s="69"/>
    </row>
    <row r="60" spans="2:8" x14ac:dyDescent="0.3">
      <c r="B60" s="70" t="s">
        <v>73</v>
      </c>
      <c r="C60" s="71"/>
      <c r="D60" s="71"/>
      <c r="E60" s="72"/>
      <c r="F60" s="73"/>
      <c r="G60" s="74"/>
    </row>
    <row r="61" spans="2:8" x14ac:dyDescent="0.3">
      <c r="B61" s="75"/>
      <c r="C61" s="75"/>
      <c r="D61" s="75"/>
      <c r="E61" s="75"/>
      <c r="F61" s="76"/>
      <c r="G61" s="77"/>
    </row>
    <row r="62" spans="2:8" x14ac:dyDescent="0.3">
      <c r="B62" s="78" t="s">
        <v>74</v>
      </c>
      <c r="C62" s="79"/>
      <c r="D62" s="79"/>
      <c r="E62" s="79"/>
      <c r="F62" s="79"/>
      <c r="G62" s="80">
        <f>G55+G35+G30+G25</f>
        <v>4580510.0309999995</v>
      </c>
    </row>
    <row r="63" spans="2:8" x14ac:dyDescent="0.3">
      <c r="B63" s="81" t="s">
        <v>75</v>
      </c>
      <c r="C63" s="82"/>
      <c r="D63" s="82"/>
      <c r="E63" s="82"/>
      <c r="F63" s="82"/>
      <c r="G63" s="83">
        <f>G62*0.05</f>
        <v>229025.50154999999</v>
      </c>
    </row>
    <row r="64" spans="2:8" x14ac:dyDescent="0.3">
      <c r="B64" s="84" t="s">
        <v>76</v>
      </c>
      <c r="C64" s="85"/>
      <c r="D64" s="85"/>
      <c r="E64" s="85"/>
      <c r="F64" s="85"/>
      <c r="G64" s="86">
        <f>G63+G62</f>
        <v>4809535.5325499997</v>
      </c>
    </row>
    <row r="65" spans="2:7" x14ac:dyDescent="0.3">
      <c r="B65" s="81" t="s">
        <v>77</v>
      </c>
      <c r="C65" s="82"/>
      <c r="D65" s="82"/>
      <c r="E65" s="82"/>
      <c r="F65" s="82"/>
      <c r="G65" s="83">
        <f>G10</f>
        <v>6750000</v>
      </c>
    </row>
    <row r="66" spans="2:7" x14ac:dyDescent="0.3">
      <c r="B66" s="87" t="s">
        <v>78</v>
      </c>
      <c r="C66" s="88"/>
      <c r="D66" s="88"/>
      <c r="E66" s="88"/>
      <c r="F66" s="88"/>
      <c r="G66" s="80">
        <f>G65-G64</f>
        <v>1940464.4674500003</v>
      </c>
    </row>
    <row r="67" spans="2:7" x14ac:dyDescent="0.3">
      <c r="B67" s="26" t="s">
        <v>79</v>
      </c>
      <c r="C67" s="26"/>
      <c r="D67" s="26"/>
      <c r="E67" s="26"/>
      <c r="F67" s="26"/>
      <c r="G67" s="26"/>
    </row>
    <row r="68" spans="2:7" x14ac:dyDescent="0.3">
      <c r="B68" s="26"/>
      <c r="C68" s="26"/>
      <c r="D68" s="26"/>
      <c r="E68" s="26"/>
      <c r="F68" s="26"/>
      <c r="G68" s="26"/>
    </row>
    <row r="69" spans="2:7" x14ac:dyDescent="0.3">
      <c r="B69" s="26" t="s">
        <v>80</v>
      </c>
      <c r="C69" s="26"/>
      <c r="D69" s="26"/>
      <c r="E69" s="26"/>
      <c r="F69" s="26"/>
      <c r="G69" s="26"/>
    </row>
    <row r="70" spans="2:7" x14ac:dyDescent="0.3">
      <c r="B70" s="26" t="s">
        <v>81</v>
      </c>
      <c r="C70" s="26"/>
      <c r="D70" s="26"/>
      <c r="E70" s="26"/>
      <c r="F70" s="26"/>
      <c r="G70" s="26"/>
    </row>
    <row r="71" spans="2:7" x14ac:dyDescent="0.3">
      <c r="B71" s="26" t="s">
        <v>82</v>
      </c>
      <c r="C71" s="26"/>
      <c r="D71" s="26"/>
      <c r="E71" s="26"/>
      <c r="F71" s="26"/>
      <c r="G71" s="26"/>
    </row>
    <row r="72" spans="2:7" x14ac:dyDescent="0.3">
      <c r="B72" s="26" t="s">
        <v>83</v>
      </c>
      <c r="C72" s="26"/>
      <c r="D72" s="26"/>
      <c r="E72" s="26"/>
      <c r="F72" s="26"/>
      <c r="G72" s="26"/>
    </row>
    <row r="73" spans="2:7" x14ac:dyDescent="0.3">
      <c r="B73" s="26" t="s">
        <v>84</v>
      </c>
      <c r="C73" s="26"/>
      <c r="D73" s="26"/>
      <c r="E73" s="26"/>
      <c r="F73" s="26"/>
      <c r="G73" s="26"/>
    </row>
    <row r="74" spans="2:7" x14ac:dyDescent="0.3">
      <c r="B74" s="26" t="s">
        <v>85</v>
      </c>
      <c r="C74" s="26"/>
      <c r="D74" s="26"/>
      <c r="E74" s="26"/>
      <c r="F74" s="26"/>
      <c r="G74" s="26"/>
    </row>
    <row r="75" spans="2:7" x14ac:dyDescent="0.3">
      <c r="B75" s="26" t="s">
        <v>86</v>
      </c>
      <c r="C75" s="26"/>
      <c r="D75" s="26"/>
      <c r="E75" s="26"/>
      <c r="F75" s="26"/>
      <c r="G75" s="26"/>
    </row>
    <row r="77" spans="2:7" ht="15" thickBot="1" x14ac:dyDescent="0.35">
      <c r="B77" s="115" t="s">
        <v>98</v>
      </c>
      <c r="C77" s="116"/>
      <c r="D77" s="89"/>
      <c r="E77" s="90"/>
    </row>
    <row r="78" spans="2:7" x14ac:dyDescent="0.3">
      <c r="B78" s="91" t="s">
        <v>71</v>
      </c>
      <c r="C78" s="92" t="s">
        <v>99</v>
      </c>
      <c r="D78" s="93" t="s">
        <v>100</v>
      </c>
      <c r="E78" s="90"/>
    </row>
    <row r="79" spans="2:7" x14ac:dyDescent="0.3">
      <c r="B79" s="94" t="s">
        <v>101</v>
      </c>
      <c r="C79" s="95">
        <f>G25</f>
        <v>988000</v>
      </c>
      <c r="D79" s="96">
        <f>(C79/C85)</f>
        <v>0.20542524185826436</v>
      </c>
      <c r="E79" s="90"/>
    </row>
    <row r="80" spans="2:7" x14ac:dyDescent="0.3">
      <c r="B80" s="94" t="s">
        <v>102</v>
      </c>
      <c r="C80" s="95">
        <f>G30</f>
        <v>0</v>
      </c>
      <c r="D80" s="96">
        <v>0</v>
      </c>
      <c r="E80" s="90"/>
    </row>
    <row r="81" spans="2:5" x14ac:dyDescent="0.3">
      <c r="B81" s="94" t="s">
        <v>103</v>
      </c>
      <c r="C81" s="95">
        <f>G35</f>
        <v>1227600</v>
      </c>
      <c r="D81" s="96">
        <f>(C81/C85)</f>
        <v>0.25524294221174632</v>
      </c>
      <c r="E81" s="90"/>
    </row>
    <row r="82" spans="2:5" x14ac:dyDescent="0.3">
      <c r="B82" s="94" t="s">
        <v>42</v>
      </c>
      <c r="C82" s="95">
        <f>G55</f>
        <v>2364910.031</v>
      </c>
      <c r="D82" s="96">
        <f>(C82/C85)</f>
        <v>0.49171276831094179</v>
      </c>
      <c r="E82" s="90"/>
    </row>
    <row r="83" spans="2:5" x14ac:dyDescent="0.3">
      <c r="B83" s="94" t="s">
        <v>104</v>
      </c>
      <c r="C83" s="97">
        <f>G60</f>
        <v>0</v>
      </c>
      <c r="D83" s="96">
        <f>(C83/C85)</f>
        <v>0</v>
      </c>
      <c r="E83" s="98"/>
    </row>
    <row r="84" spans="2:5" x14ac:dyDescent="0.3">
      <c r="B84" s="94" t="s">
        <v>69</v>
      </c>
      <c r="C84" s="97">
        <f>G63</f>
        <v>229025.50154999999</v>
      </c>
      <c r="D84" s="96">
        <f>(C84/C85)</f>
        <v>4.7619047619047616E-2</v>
      </c>
      <c r="E84" s="98"/>
    </row>
    <row r="85" spans="2:5" ht="15" thickBot="1" x14ac:dyDescent="0.35">
      <c r="B85" s="99" t="s">
        <v>105</v>
      </c>
      <c r="C85" s="100">
        <f>SUM(C79:C84)</f>
        <v>4809535.5325499997</v>
      </c>
      <c r="D85" s="101">
        <f>SUM(D79:D84)</f>
        <v>1</v>
      </c>
      <c r="E85" s="98"/>
    </row>
    <row r="86" spans="2:5" x14ac:dyDescent="0.3">
      <c r="B86" s="102"/>
      <c r="C86" s="103"/>
      <c r="D86" s="103"/>
      <c r="E86" s="103"/>
    </row>
    <row r="87" spans="2:5" ht="15" thickBot="1" x14ac:dyDescent="0.35">
      <c r="B87" s="104"/>
      <c r="C87" s="103"/>
      <c r="D87" s="103"/>
      <c r="E87" s="103"/>
    </row>
    <row r="88" spans="2:5" ht="15" thickBot="1" x14ac:dyDescent="0.35">
      <c r="B88" s="117" t="s">
        <v>106</v>
      </c>
      <c r="C88" s="118"/>
      <c r="D88" s="118"/>
      <c r="E88" s="119"/>
    </row>
    <row r="89" spans="2:5" x14ac:dyDescent="0.3">
      <c r="B89" s="105" t="s">
        <v>107</v>
      </c>
      <c r="C89" s="106">
        <v>1200</v>
      </c>
      <c r="D89" s="106">
        <v>1500</v>
      </c>
      <c r="E89" s="106">
        <v>1700</v>
      </c>
    </row>
    <row r="90" spans="2:5" ht="15" thickBot="1" x14ac:dyDescent="0.35">
      <c r="B90" s="99" t="s">
        <v>108</v>
      </c>
      <c r="C90" s="100">
        <f>(G64/C89)</f>
        <v>4007.9462771249996</v>
      </c>
      <c r="D90" s="100">
        <f>(G64/D89)</f>
        <v>3206.3570216999997</v>
      </c>
      <c r="E90" s="107">
        <f>(G64/E89)</f>
        <v>2829.1385485588235</v>
      </c>
    </row>
    <row r="91" spans="2:5" x14ac:dyDescent="0.3">
      <c r="B91" s="108" t="s">
        <v>109</v>
      </c>
      <c r="C91" s="109"/>
      <c r="D91" s="109"/>
      <c r="E91" s="109"/>
    </row>
  </sheetData>
  <mergeCells count="10">
    <mergeCell ref="E13:F13"/>
    <mergeCell ref="B15:G15"/>
    <mergeCell ref="B77:C77"/>
    <mergeCell ref="B88:E88"/>
    <mergeCell ref="E7:F7"/>
    <mergeCell ref="E8:F8"/>
    <mergeCell ref="E9:F9"/>
    <mergeCell ref="E10:F10"/>
    <mergeCell ref="E11:F11"/>
    <mergeCell ref="E12:F1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2D9EC940F96643B63B06A5078D086C" ma:contentTypeVersion="16" ma:contentTypeDescription="Crear nuevo documento." ma:contentTypeScope="" ma:versionID="460fcf2cabfba59f52d96c11e90afadb">
  <xsd:schema xmlns:xsd="http://www.w3.org/2001/XMLSchema" xmlns:xs="http://www.w3.org/2001/XMLSchema" xmlns:p="http://schemas.microsoft.com/office/2006/metadata/properties" xmlns:ns1="http://schemas.microsoft.com/sharepoint/v3" xmlns:ns3="c5dbce2d-49dc-4afe-a5b0-d7fb7a901161" xmlns:ns4="1030f0af-99cb-42f1-88fc-acec73331192" targetNamespace="http://schemas.microsoft.com/office/2006/metadata/properties" ma:root="true" ma:fieldsID="e9e81fa5701fb57a9a1e74e746f7827b" ns1:_="" ns3:_="" ns4:_="">
    <xsd:import namespace="http://schemas.microsoft.com/sharepoint/v3"/>
    <xsd:import namespace="c5dbce2d-49dc-4afe-a5b0-d7fb7a901161"/>
    <xsd:import namespace="1030f0af-99cb-42f1-88fc-acec733311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ce2d-49dc-4afe-a5b0-d7fb7a901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0f0af-99cb-42f1-88fc-acec7333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1D8136-01D6-40F2-A344-1277741A6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bce2d-49dc-4afe-a5b0-d7fb7a901161"/>
    <ds:schemaRef ds:uri="1030f0af-99cb-42f1-88fc-acec733311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C038C3-260F-42A4-BB38-82021D3D5DD6}">
  <ds:schemaRefs>
    <ds:schemaRef ds:uri="1030f0af-99cb-42f1-88fc-acec73331192"/>
    <ds:schemaRef ds:uri="http://schemas.microsoft.com/office/2006/documentManagement/types"/>
    <ds:schemaRef ds:uri="http://purl.org/dc/dcmitype/"/>
    <ds:schemaRef ds:uri="c5dbce2d-49dc-4afe-a5b0-d7fb7a901161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2FEAB7A-E687-41A8-9E8B-8AFC92DF49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Apicultura</vt:lpstr>
      <vt:lpstr>Al 22.06.22</vt:lpstr>
      <vt:lpstr>Apicultura!Área_de_impresión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Salinas Alvarez Mariana Beatriz</dc:creator>
  <cp:lastModifiedBy>Salinas Alvarez Mariana Beatriz</cp:lastModifiedBy>
  <cp:lastPrinted>2019-03-20T19:14:26Z</cp:lastPrinted>
  <dcterms:created xsi:type="dcterms:W3CDTF">2018-02-26T18:23:15Z</dcterms:created>
  <dcterms:modified xsi:type="dcterms:W3CDTF">2022-06-30T16:05:34Z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0x010100202D9EC940F96643B63B06A5078D086C</vt:lpwstr>
  </property>
</Properties>
</file>