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Quillota/"/>
    </mc:Choice>
  </mc:AlternateContent>
  <bookViews>
    <workbookView xWindow="0" yWindow="0" windowWidth="23040" windowHeight="8616"/>
  </bookViews>
  <sheets>
    <sheet name="PEPINO ENSALADA" sheetId="1" r:id="rId1"/>
  </sheets>
  <definedNames>
    <definedName name="_xlnm.Print_Area" localSheetId="0">'PEPINO ENSALADA'!$A$1:$F$131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1" i="1" l="1"/>
  <c r="F9" i="1" l="1"/>
  <c r="F11" i="1"/>
  <c r="E89" i="1"/>
  <c r="F70" i="1"/>
  <c r="E54" i="1"/>
  <c r="E74" i="1"/>
  <c r="E71" i="1"/>
  <c r="C129" i="1" l="1"/>
  <c r="F60" i="1"/>
  <c r="F88" i="1" l="1"/>
  <c r="F89" i="1"/>
  <c r="F86" i="1"/>
  <c r="F85" i="1"/>
  <c r="F80" i="1"/>
  <c r="F81" i="1"/>
  <c r="F67" i="1" l="1"/>
  <c r="F12" i="1"/>
  <c r="F22" i="1"/>
  <c r="E63" i="1"/>
  <c r="F63" i="1" s="1"/>
  <c r="C48" i="1" l="1"/>
  <c r="E48" i="1"/>
  <c r="F65" i="1"/>
  <c r="E55" i="1"/>
  <c r="E59" i="1"/>
  <c r="F59" i="1" s="1"/>
  <c r="E61" i="1"/>
  <c r="F61" i="1" s="1"/>
  <c r="E58" i="1"/>
  <c r="F58" i="1" s="1"/>
  <c r="E57" i="1"/>
  <c r="F57" i="1" s="1"/>
  <c r="E56" i="1"/>
  <c r="F56" i="1" s="1"/>
  <c r="C54" i="1"/>
  <c r="F99" i="1"/>
  <c r="F100" i="1" s="1"/>
  <c r="E93" i="1"/>
  <c r="C93" i="1"/>
  <c r="F54" i="1" l="1"/>
  <c r="F48" i="1"/>
  <c r="F49" i="1" s="1"/>
  <c r="F93" i="1"/>
  <c r="F55" i="1"/>
  <c r="F91" i="1" l="1"/>
  <c r="E64" i="1"/>
  <c r="F64" i="1" s="1"/>
  <c r="F36" i="1"/>
  <c r="E90" i="1"/>
  <c r="F90" i="1" s="1"/>
  <c r="E77" i="1"/>
  <c r="E76" i="1"/>
  <c r="E75" i="1"/>
  <c r="E73" i="1"/>
  <c r="F71" i="1" l="1"/>
  <c r="F72" i="1"/>
  <c r="F73" i="1"/>
  <c r="F74" i="1"/>
  <c r="F75" i="1"/>
  <c r="F76" i="1"/>
  <c r="F77" i="1"/>
  <c r="F95" i="1" l="1"/>
  <c r="F24" i="1"/>
  <c r="F25" i="1"/>
  <c r="F26" i="1"/>
  <c r="F27" i="1"/>
  <c r="F38" i="1"/>
  <c r="F28" i="1"/>
  <c r="F29" i="1"/>
  <c r="F30" i="1"/>
  <c r="F31" i="1"/>
  <c r="F32" i="1"/>
  <c r="F33" i="1"/>
  <c r="F34" i="1"/>
  <c r="F39" i="1" l="1"/>
  <c r="F102" i="1" s="1"/>
  <c r="B121" i="1"/>
  <c r="B122" i="1"/>
  <c r="B123" i="1"/>
  <c r="B119" i="1" l="1"/>
  <c r="B120" i="1"/>
  <c r="F105" i="1"/>
  <c r="F103" i="1" l="1"/>
  <c r="B124" i="1" s="1"/>
  <c r="F104" i="1" l="1"/>
  <c r="B125" i="1"/>
  <c r="C119" i="1" s="1"/>
  <c r="D130" i="1" l="1"/>
  <c r="B130" i="1"/>
  <c r="C130" i="1"/>
  <c r="F106" i="1"/>
  <c r="C124" i="1"/>
  <c r="C122" i="1"/>
  <c r="C123" i="1"/>
  <c r="C121" i="1"/>
  <c r="C125" i="1" l="1"/>
</calcChain>
</file>

<file path=xl/sharedStrings.xml><?xml version="1.0" encoding="utf-8"?>
<sst xmlns="http://schemas.openxmlformats.org/spreadsheetml/2006/main" count="244" uniqueCount="159">
  <si>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</si>
  <si>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</si>
  <si>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</si>
  <si>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</si>
  <si>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</si>
  <si>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</si>
  <si>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</si>
  <si>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</si>
  <si>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</si>
  <si>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</si>
  <si>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</si>
  <si>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</si>
  <si>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</si>
  <si>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</si>
  <si>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</si>
  <si>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</si>
  <si>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</si>
  <si>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</si>
  <si>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</si>
  <si>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</si>
  <si>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</si>
  <si>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</si>
  <si>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</si>
  <si>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</si>
  <si>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</si>
  <si>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</si>
  <si>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</si>
  <si>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</si>
  <si>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</si>
  <si>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</si>
  <si>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</si>
  <si>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</si>
  <si>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</si>
  <si>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</si>
  <si>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</si>
  <si>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</si>
  <si>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</si>
  <si>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</si>
  <si>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</si>
  <si>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</si>
  <si>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</si>
  <si>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</si>
  <si>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</si>
  <si>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</si>
  <si>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</si>
  <si>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</si>
  <si>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</si>
  <si>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</si>
  <si>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</si>
  <si>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</si>
  <si>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</si>
  <si>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</si>
  <si>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</si>
  <si>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</si>
  <si>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</si>
  <si>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</si>
  <si>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</si>
  <si>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</si>
  <si>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</si>
  <si>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</si>
  <si>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</si>
  <si>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Todas las comunas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</si>
  <si>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</si>
  <si>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</si>
  <si>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</si>
  <si>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</si>
  <si>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</si>
  <si>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</si>
  <si>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</si>
  <si>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</si>
  <si>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</si>
  <si>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</si>
  <si>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</si>
  <si>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</si>
  <si>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</si>
  <si>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</si>
  <si>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</si>
  <si>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</si>
  <si>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</si>
  <si>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</si>
  <si>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</si>
  <si>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</si>
  <si>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</si>
  <si>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</si>
  <si>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</si>
  <si>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</si>
  <si>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</si>
  <si>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</si>
  <si>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m3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</si>
  <si>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</si>
  <si>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</si>
  <si>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</si>
  <si>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</si>
  <si>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</si>
  <si>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Sulfato ferroso</t>
  </si>
  <si>
    <t xml:space="preserve">Acido fosforico </t>
  </si>
  <si>
    <t>Sep-Dic</t>
  </si>
  <si>
    <t>Luna Experience</t>
  </si>
  <si>
    <t>Nov-Dic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</si>
  <si>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</si>
  <si>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</si>
  <si>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</si>
  <si>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</si>
  <si>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</si>
  <si>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</si>
  <si>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</si>
  <si>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</si>
  <si>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</si>
  <si>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</si>
  <si>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 xml:space="preserve">Cosecha </t>
  </si>
  <si>
    <t>Azufre Mojable</t>
  </si>
  <si>
    <t>MEDIO</t>
  </si>
  <si>
    <t xml:space="preserve">MANO DE OBRA COSECHA </t>
  </si>
  <si>
    <t>MANO DE OBRA SELECCIÓN/EMABALAJE</t>
  </si>
  <si>
    <t>PESTICIDAS</t>
  </si>
  <si>
    <t>CUBIIERTA PLASTICA</t>
  </si>
  <si>
    <t>Jabon potasico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</si>
  <si>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</si>
  <si>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</si>
  <si>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</si>
  <si>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</si>
  <si>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</si>
  <si>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</si>
  <si>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</si>
  <si>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</si>
  <si>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</si>
  <si>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</si>
  <si>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</si>
  <si>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lt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</si>
  <si>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</si>
  <si>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</si>
  <si>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</si>
  <si>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</si>
  <si>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</si>
  <si>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</si>
  <si>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</si>
  <si>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</si>
  <si>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 xml:space="preserve">Doble Techo 1 temporada 4 mt x 40 micrones (amortizado en 2 cultivos) </t>
  </si>
  <si>
    <t>Mulch negro-blanco  2 temporadas 1,2 m x 20 micrones x 1000 metros (amortizado en 2 cultivos)</t>
  </si>
  <si>
    <t>PEPINO ENSALADA</t>
  </si>
  <si>
    <t>JAVAN-KENIA TIPO BLUE LEAF</t>
  </si>
  <si>
    <t xml:space="preserve">PLANTAS </t>
  </si>
  <si>
    <t>Plantines</t>
  </si>
  <si>
    <t>Vertimec</t>
  </si>
  <si>
    <t>Magister</t>
  </si>
  <si>
    <t>Score</t>
  </si>
  <si>
    <t>Oct-Dic</t>
  </si>
  <si>
    <t>RENDIMIENTO (Un/ha)</t>
  </si>
  <si>
    <t>PRECIO ESPERADO ($/Un)</t>
  </si>
  <si>
    <t>Rendimiento (Un/hà)</t>
  </si>
  <si>
    <t>Costo unitario ($/Un) (*)</t>
  </si>
  <si>
    <t>Previcur Energy</t>
  </si>
  <si>
    <t>Guano ave descompuesto (Amortización 2 cultivos)</t>
  </si>
  <si>
    <t>Oct y Marzo</t>
  </si>
  <si>
    <t>Mezcla 17-20-20 (Amortización 2 cultivos)</t>
  </si>
  <si>
    <t>Engeo</t>
  </si>
  <si>
    <t>Jul</t>
  </si>
  <si>
    <t>ESCENARIOS COSTO UNITARIO  ($/UN)</t>
  </si>
  <si>
    <t>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</si>
</sst>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8" fillId="0" borderId="18"/>
    <xf numFmtId="0" fontId="21" fillId="0" borderId="18" applyNumberFormat="0" applyFill="0" applyBorder="0" applyProtection="0"/>
    <xf numFmtId="41" fontId="21" fillId="0" borderId="18" applyFont="0" applyFill="0" applyBorder="0" applyAlignment="0" applyProtection="0"/>
    <xf numFmtId="9" fontId="21" fillId="0" borderId="18" applyFont="0" applyFill="0" applyBorder="0" applyAlignment="0" applyProtection="0"/>
  </cellStyleXfs>
  <cellXfs count="20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19" fillId="0" borderId="55" xfId="1" applyNumberFormat="1" applyFont="1" applyBorder="1" applyAlignment="1">
      <alignment horizontal="right" vertic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3" fillId="9" borderId="55" xfId="2" applyFont="1" applyFill="1" applyBorder="1" applyAlignment="1">
      <alignment horizontal="center" vertical="center"/>
    </xf>
    <xf numFmtId="3" fontId="23" fillId="9" borderId="55" xfId="2" applyNumberFormat="1" applyFont="1" applyFill="1" applyBorder="1" applyAlignment="1">
      <alignment horizontal="center" vertical="center"/>
    </xf>
    <xf numFmtId="3" fontId="23" fillId="0" borderId="55" xfId="2" applyNumberFormat="1" applyFont="1" applyBorder="1" applyAlignment="1">
      <alignment horizontal="center" vertical="center"/>
    </xf>
    <xf numFmtId="0" fontId="23" fillId="9" borderId="55" xfId="2" applyFont="1" applyFill="1" applyBorder="1" applyAlignment="1">
      <alignment horizontal="left" vertical="center" wrapText="1"/>
    </xf>
    <xf numFmtId="0" fontId="23" fillId="9" borderId="55" xfId="2" applyFont="1" applyFill="1" applyBorder="1" applyAlignment="1">
      <alignment vertical="center" wrapText="1"/>
    </xf>
    <xf numFmtId="0" fontId="23" fillId="9" borderId="56" xfId="2" applyFont="1" applyFill="1" applyBorder="1" applyAlignment="1">
      <alignment horizontal="center" vertical="center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20" fillId="9" borderId="48" xfId="0" applyNumberFormat="1" applyFont="1" applyFill="1" applyBorder="1" applyAlignment="1">
      <alignment horizontal="left" vertical="center" wrapText="1"/>
    </xf>
    <xf numFmtId="49" fontId="4" fillId="9" borderId="5" xfId="0" applyNumberFormat="1" applyFont="1" applyFill="1" applyBorder="1" applyAlignment="1">
      <alignment horizontal="right" vertical="center"/>
    </xf>
    <xf numFmtId="49" fontId="7" fillId="3" borderId="17" xfId="0" applyNumberFormat="1" applyFont="1" applyFill="1" applyBorder="1" applyAlignment="1">
      <alignment vertical="center"/>
    </xf>
    <xf numFmtId="49" fontId="4" fillId="9" borderId="5" xfId="0" applyNumberFormat="1" applyFont="1" applyFill="1" applyBorder="1" applyAlignment="1">
      <alignment horizontal="right"/>
    </xf>
    <xf numFmtId="49" fontId="4" fillId="9" borderId="5" xfId="0" applyNumberFormat="1" applyFont="1" applyFill="1" applyBorder="1" applyAlignment="1">
      <alignment horizontal="right" wrapText="1"/>
    </xf>
    <xf numFmtId="49" fontId="4" fillId="10" borderId="48" xfId="0" applyNumberFormat="1" applyFont="1" applyFill="1" applyBorder="1" applyAlignment="1">
      <alignment horizontal="center" vertical="center" wrapText="1"/>
    </xf>
    <xf numFmtId="49" fontId="4" fillId="10" borderId="48" xfId="0" applyNumberFormat="1" applyFont="1" applyFill="1" applyBorder="1" applyAlignment="1">
      <alignment horizontal="center" vertical="center"/>
    </xf>
    <xf numFmtId="0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left" vertical="center" wrapText="1"/>
    </xf>
    <xf numFmtId="0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/>
    </xf>
    <xf numFmtId="49" fontId="4" fillId="10" borderId="48" xfId="0" applyNumberFormat="1" applyFont="1" applyFill="1" applyBorder="1" applyAlignment="1">
      <alignment horizontal="left" wrapText="1"/>
    </xf>
    <xf numFmtId="49" fontId="4" fillId="10" borderId="48" xfId="0" applyNumberFormat="1" applyFont="1" applyFill="1" applyBorder="1" applyAlignment="1">
      <alignment horizontal="left"/>
    </xf>
    <xf numFmtId="49" fontId="4" fillId="9" borderId="48" xfId="0" applyNumberFormat="1" applyFont="1" applyFill="1" applyBorder="1" applyAlignment="1">
      <alignment horizontal="center" vertical="center"/>
    </xf>
    <xf numFmtId="0" fontId="4" fillId="9" borderId="48" xfId="0" applyNumberFormat="1" applyFont="1" applyFill="1" applyBorder="1" applyAlignment="1">
      <alignment horizontal="center" vertical="center"/>
    </xf>
    <xf numFmtId="3" fontId="4" fillId="9" borderId="48" xfId="0" applyNumberFormat="1" applyFont="1" applyFill="1" applyBorder="1" applyAlignment="1">
      <alignment horizontal="center" vertical="center"/>
    </xf>
    <xf numFmtId="0" fontId="23" fillId="10" borderId="55" xfId="2" applyFont="1" applyFill="1" applyBorder="1" applyAlignment="1">
      <alignment horizontal="center" vertical="center"/>
    </xf>
    <xf numFmtId="3" fontId="23" fillId="10" borderId="55" xfId="2" applyNumberFormat="1" applyFont="1" applyFill="1" applyBorder="1" applyAlignment="1">
      <alignment horizontal="center" vertical="center"/>
    </xf>
    <xf numFmtId="49" fontId="4" fillId="10" borderId="5" xfId="0" applyNumberFormat="1" applyFont="1" applyFill="1" applyBorder="1" applyAlignment="1">
      <alignment horizontal="center" vertical="center" wrapText="1"/>
    </xf>
    <xf numFmtId="0" fontId="4" fillId="10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horizontal="center" vertical="center" wrapText="1"/>
    </xf>
    <xf numFmtId="0" fontId="23" fillId="10" borderId="5" xfId="0" applyNumberFormat="1" applyFont="1" applyFill="1" applyBorder="1" applyAlignment="1">
      <alignment horizontal="center" vertical="center" wrapText="1"/>
    </xf>
    <xf numFmtId="3" fontId="23" fillId="10" borderId="5" xfId="0" applyNumberFormat="1" applyFont="1" applyFill="1" applyBorder="1" applyAlignment="1">
      <alignment horizontal="center" vertical="center" wrapText="1"/>
    </xf>
    <xf numFmtId="49" fontId="22" fillId="10" borderId="5" xfId="0" applyNumberFormat="1" applyFont="1" applyFill="1" applyBorder="1" applyAlignment="1">
      <alignment wrapText="1"/>
    </xf>
    <xf numFmtId="49" fontId="23" fillId="10" borderId="5" xfId="0" applyNumberFormat="1" applyFont="1" applyFill="1" applyBorder="1" applyAlignment="1">
      <alignment horizontal="center" wrapText="1"/>
    </xf>
    <xf numFmtId="0" fontId="23" fillId="10" borderId="5" xfId="0" applyNumberFormat="1" applyFont="1" applyFill="1" applyBorder="1" applyAlignment="1">
      <alignment horizontal="center" wrapText="1"/>
    </xf>
    <xf numFmtId="3" fontId="23" fillId="10" borderId="5" xfId="0" applyNumberFormat="1" applyFont="1" applyFill="1" applyBorder="1" applyAlignment="1">
      <alignment horizontal="center" wrapText="1"/>
    </xf>
    <xf numFmtId="49" fontId="23" fillId="10" borderId="5" xfId="0" applyNumberFormat="1" applyFont="1" applyFill="1" applyBorder="1" applyAlignment="1">
      <alignment wrapText="1"/>
    </xf>
    <xf numFmtId="1" fontId="23" fillId="10" borderId="5" xfId="0" applyNumberFormat="1" applyFont="1" applyFill="1" applyBorder="1" applyAlignment="1">
      <alignment horizontal="center" wrapText="1"/>
    </xf>
    <xf numFmtId="3" fontId="4" fillId="10" borderId="5" xfId="0" applyNumberFormat="1" applyFont="1" applyFill="1" applyBorder="1" applyAlignment="1">
      <alignment horizontal="right"/>
    </xf>
    <xf numFmtId="1" fontId="4" fillId="10" borderId="48" xfId="0" applyNumberFormat="1" applyFont="1" applyFill="1" applyBorder="1" applyAlignment="1">
      <alignment horizontal="center"/>
    </xf>
    <xf numFmtId="49" fontId="4" fillId="10" borderId="5" xfId="0" applyNumberFormat="1" applyFont="1" applyFill="1" applyBorder="1" applyAlignment="1">
      <alignment vertical="center" wrapText="1"/>
    </xf>
    <xf numFmtId="49" fontId="23" fillId="10" borderId="48" xfId="0" applyNumberFormat="1" applyFont="1" applyFill="1" applyBorder="1" applyAlignment="1">
      <alignment horizontal="left"/>
    </xf>
    <xf numFmtId="49" fontId="23" fillId="10" borderId="48" xfId="0" applyNumberFormat="1" applyFont="1" applyFill="1" applyBorder="1" applyAlignment="1">
      <alignment horizontal="center"/>
    </xf>
    <xf numFmtId="0" fontId="23" fillId="10" borderId="48" xfId="0" applyNumberFormat="1" applyFont="1" applyFill="1" applyBorder="1" applyAlignment="1">
      <alignment horizontal="center"/>
    </xf>
    <xf numFmtId="3" fontId="23" fillId="10" borderId="48" xfId="0" applyNumberFormat="1" applyFont="1" applyFill="1" applyBorder="1" applyAlignment="1">
      <alignment horizontal="center"/>
    </xf>
    <xf numFmtId="49" fontId="22" fillId="10" borderId="48" xfId="0" applyNumberFormat="1" applyFont="1" applyFill="1" applyBorder="1" applyAlignment="1">
      <alignment horizontal="left"/>
    </xf>
    <xf numFmtId="164" fontId="12" fillId="7" borderId="33" xfId="0" applyNumberFormat="1" applyFont="1" applyFill="1" applyBorder="1" applyAlignment="1">
      <alignment vertical="center"/>
    </xf>
    <xf numFmtId="49" fontId="23" fillId="10" borderId="5" xfId="0" applyNumberFormat="1" applyFont="1" applyFill="1" applyBorder="1" applyAlignment="1">
      <alignment horizontal="center"/>
    </xf>
    <xf numFmtId="49" fontId="24" fillId="2" borderId="48" xfId="0" applyNumberFormat="1" applyFont="1" applyFill="1" applyBorder="1" applyAlignment="1">
      <alignment horizontal="left"/>
    </xf>
    <xf numFmtId="49" fontId="4" fillId="9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 wrapText="1"/>
    </xf>
    <xf numFmtId="3" fontId="23" fillId="10" borderId="48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/>
    <xf numFmtId="0" fontId="21" fillId="0" borderId="18" xfId="0" applyNumberFormat="1" applyFont="1" applyFill="1" applyBorder="1" applyAlignment="1"/>
    <xf numFmtId="49" fontId="23" fillId="2" borderId="48" xfId="0" applyNumberFormat="1" applyFont="1" applyFill="1" applyBorder="1" applyAlignment="1">
      <alignment horizontal="center"/>
    </xf>
    <xf numFmtId="3" fontId="23" fillId="2" borderId="48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</cellXfs>
  <cellStyles count="5">
    <cellStyle name="Millares [0] 2" xfId="3"/>
    <cellStyle name="Normal" xfId="0" builtinId="0"/>
    <cellStyle name="Normal 2" xfId="1"/>
    <cellStyle name="Normal 3" xfId="2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6</xdr:col>
      <xdr:colOff>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25"/>
          <a:ext cx="6896100" cy="128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171"/>
  <sheetViews>
    <sheetView showGridLines="0" tabSelected="1" zoomScaleNormal="100" zoomScaleSheetLayoutView="100" workbookViewId="0">
      <pane xSplit="1" topLeftCell="B1" activePane="topRight" state="frozen"/>
      <selection activeCell="A13" sqref="A13"/>
      <selection pane="topRight" activeCell="B13" sqref="B13"/>
    </sheetView>
  </sheetViews>
  <sheetFormatPr baseColWidth="10" defaultColWidth="10.88671875" defaultRowHeight="11.25" customHeight="1" x14ac:dyDescent="0.3"/>
  <cols>
    <col min="1" max="1" width="21.33203125" style="1" customWidth="1"/>
    <col min="2" max="2" width="17" style="1" customWidth="1"/>
    <col min="3" max="3" width="14.88671875" style="1" customWidth="1"/>
    <col min="4" max="4" width="14.44140625" style="1" customWidth="1"/>
    <col min="5" max="5" width="18.6640625" style="1" customWidth="1"/>
    <col min="6" max="6" width="17.109375" style="110" customWidth="1"/>
    <col min="7" max="226" width="10.88671875" style="1" customWidth="1"/>
  </cols>
  <sheetData>
    <row r="1" spans="1:6" ht="15" customHeight="1" x14ac:dyDescent="0.3">
      <c r="A1" s="2"/>
      <c r="B1" s="2"/>
      <c r="C1" s="2"/>
      <c r="D1" s="2"/>
      <c r="E1" s="2"/>
      <c r="F1" s="97"/>
    </row>
    <row r="2" spans="1:6" ht="15" customHeight="1" x14ac:dyDescent="0.3">
      <c r="A2" s="2"/>
      <c r="B2" s="2"/>
      <c r="C2" s="2"/>
      <c r="D2" s="2"/>
      <c r="E2" s="2"/>
      <c r="F2" s="97"/>
    </row>
    <row r="3" spans="1:6" ht="15" customHeight="1" x14ac:dyDescent="0.3">
      <c r="A3" s="2"/>
      <c r="B3" s="2"/>
      <c r="C3" s="2"/>
      <c r="D3" s="2"/>
      <c r="E3" s="2"/>
      <c r="F3" s="97"/>
    </row>
    <row r="4" spans="1:6" ht="15" customHeight="1" x14ac:dyDescent="0.3">
      <c r="A4" s="2"/>
      <c r="B4" s="2"/>
      <c r="C4" s="2"/>
      <c r="D4" s="2"/>
      <c r="E4" s="2"/>
      <c r="F4" s="97"/>
    </row>
    <row r="5" spans="1:6" ht="15" customHeight="1" x14ac:dyDescent="0.3">
      <c r="A5" s="2"/>
      <c r="B5" s="2"/>
      <c r="C5" s="2"/>
      <c r="D5" s="2"/>
      <c r="E5" s="2"/>
      <c r="F5" s="97"/>
    </row>
    <row r="6" spans="1:6" ht="15" customHeight="1" x14ac:dyDescent="0.3">
      <c r="A6" s="2"/>
      <c r="B6" s="2"/>
      <c r="C6" s="2"/>
      <c r="D6" s="2"/>
      <c r="E6" s="2"/>
      <c r="F6" s="97"/>
    </row>
    <row r="7" spans="1:6" ht="15" customHeight="1" x14ac:dyDescent="0.3">
      <c r="A7" s="2"/>
      <c r="B7" s="2"/>
      <c r="C7" s="2"/>
      <c r="D7" s="2"/>
      <c r="E7" s="2"/>
      <c r="F7" s="97"/>
    </row>
    <row r="8" spans="1:6" ht="15" customHeight="1" x14ac:dyDescent="0.3">
      <c r="A8" s="3"/>
      <c r="B8" s="4"/>
      <c r="C8" s="2"/>
      <c r="D8" s="4"/>
      <c r="E8" s="4"/>
      <c r="F8" s="98"/>
    </row>
    <row r="9" spans="1:6" ht="12" customHeight="1" x14ac:dyDescent="0.3">
      <c r="A9" s="5" t="s">
        <v>0</v>
      </c>
      <c r="B9" s="134" t="s">
        <v>139</v>
      </c>
      <c r="C9" s="6"/>
      <c r="D9" s="196" t="s">
        <v>147</v>
      </c>
      <c r="E9" s="197"/>
      <c r="F9" s="177">
        <f>C67*12</f>
        <v>384000</v>
      </c>
    </row>
    <row r="10" spans="1:6" ht="21.75" customHeight="1" x14ac:dyDescent="0.3">
      <c r="A10" s="7" t="s">
        <v>1</v>
      </c>
      <c r="B10" s="188" t="s">
        <v>140</v>
      </c>
      <c r="C10" s="8"/>
      <c r="D10" s="198" t="s">
        <v>2</v>
      </c>
      <c r="E10" s="199"/>
      <c r="F10" s="148" t="s">
        <v>99</v>
      </c>
    </row>
    <row r="11" spans="1:6" ht="18" customHeight="1" x14ac:dyDescent="0.3">
      <c r="A11" s="7" t="s">
        <v>3</v>
      </c>
      <c r="B11" s="146" t="s">
        <v>111</v>
      </c>
      <c r="C11" s="8"/>
      <c r="D11" s="198" t="s">
        <v>148</v>
      </c>
      <c r="E11" s="199"/>
      <c r="F11" s="189">
        <f>7500/70</f>
        <v>107.14285714285714</v>
      </c>
    </row>
    <row r="12" spans="1:6" ht="11.25" customHeight="1" x14ac:dyDescent="0.3">
      <c r="A12" s="7" t="s">
        <v>4</v>
      </c>
      <c r="B12" s="135" t="s">
        <v>62</v>
      </c>
      <c r="C12" s="8"/>
      <c r="D12" s="9" t="s">
        <v>5</v>
      </c>
      <c r="E12" s="10"/>
      <c r="F12" s="190">
        <f>F11*F9</f>
        <v>41142857.142857142</v>
      </c>
    </row>
    <row r="13" spans="1:6" ht="11.25" customHeight="1" x14ac:dyDescent="0.3">
      <c r="A13" s="7" t="s">
        <v>6</v>
      </c>
      <c r="B13" s="135" t="s">
        <v>158</v>
      </c>
      <c r="C13" s="8"/>
      <c r="D13" s="198" t="s">
        <v>7</v>
      </c>
      <c r="E13" s="199"/>
      <c r="F13" s="148" t="s">
        <v>100</v>
      </c>
    </row>
    <row r="14" spans="1:6" ht="13.5" customHeight="1" x14ac:dyDescent="0.3">
      <c r="A14" s="7" t="s">
        <v>8</v>
      </c>
      <c r="B14" s="135" t="s">
        <v>61</v>
      </c>
      <c r="C14" s="8"/>
      <c r="D14" s="198" t="s">
        <v>9</v>
      </c>
      <c r="E14" s="199"/>
      <c r="F14" s="148" t="s">
        <v>99</v>
      </c>
    </row>
    <row r="15" spans="1:6" ht="16.5" customHeight="1" x14ac:dyDescent="0.3">
      <c r="A15" s="7" t="s">
        <v>10</v>
      </c>
      <c r="B15" s="131">
        <v>44713</v>
      </c>
      <c r="C15" s="8"/>
      <c r="D15" s="200" t="s">
        <v>11</v>
      </c>
      <c r="E15" s="201"/>
      <c r="F15" s="149" t="s">
        <v>101</v>
      </c>
    </row>
    <row r="16" spans="1:6" ht="12" customHeight="1" x14ac:dyDescent="0.3">
      <c r="A16" s="11"/>
      <c r="B16" s="12"/>
      <c r="C16" s="13"/>
      <c r="D16" s="14"/>
      <c r="E16" s="14"/>
      <c r="F16" s="99"/>
    </row>
    <row r="17" spans="1:6" ht="12" customHeight="1" x14ac:dyDescent="0.3">
      <c r="A17" s="202" t="s">
        <v>12</v>
      </c>
      <c r="B17" s="203"/>
      <c r="C17" s="203"/>
      <c r="D17" s="203"/>
      <c r="E17" s="203"/>
      <c r="F17" s="203"/>
    </row>
    <row r="18" spans="1:6" ht="12" customHeight="1" x14ac:dyDescent="0.3">
      <c r="A18" s="15"/>
      <c r="B18" s="16"/>
      <c r="C18" s="16"/>
      <c r="D18" s="16"/>
      <c r="E18" s="17"/>
      <c r="F18" s="100"/>
    </row>
    <row r="19" spans="1:6" ht="12" customHeight="1" x14ac:dyDescent="0.3">
      <c r="A19" s="18" t="s">
        <v>13</v>
      </c>
      <c r="B19" s="19"/>
      <c r="C19" s="20"/>
      <c r="D19" s="20"/>
      <c r="E19" s="20"/>
      <c r="F19" s="101"/>
    </row>
    <row r="20" spans="1:6" ht="24" customHeight="1" x14ac:dyDescent="0.3">
      <c r="A20" s="21" t="s">
        <v>14</v>
      </c>
      <c r="B20" s="21" t="s">
        <v>15</v>
      </c>
      <c r="C20" s="21" t="s">
        <v>16</v>
      </c>
      <c r="D20" s="21" t="s">
        <v>17</v>
      </c>
      <c r="E20" s="21" t="s">
        <v>18</v>
      </c>
      <c r="F20" s="21" t="s">
        <v>19</v>
      </c>
    </row>
    <row r="21" spans="1:6" ht="27" customHeight="1" x14ac:dyDescent="0.3">
      <c r="A21" s="136" t="s">
        <v>130</v>
      </c>
      <c r="B21" s="22"/>
      <c r="C21" s="90"/>
      <c r="D21" s="22"/>
      <c r="E21" s="122"/>
      <c r="F21" s="122"/>
    </row>
    <row r="22" spans="1:6" ht="25.5" customHeight="1" x14ac:dyDescent="0.3">
      <c r="A22" s="168" t="s">
        <v>129</v>
      </c>
      <c r="B22" s="168" t="s">
        <v>20</v>
      </c>
      <c r="C22" s="169">
        <v>18</v>
      </c>
      <c r="D22" s="168" t="s">
        <v>63</v>
      </c>
      <c r="E22" s="170">
        <v>75000</v>
      </c>
      <c r="F22" s="170">
        <f>C22*E22/3</f>
        <v>450000</v>
      </c>
    </row>
    <row r="23" spans="1:6" ht="12.75" customHeight="1" x14ac:dyDescent="0.3">
      <c r="A23" s="171" t="s">
        <v>136</v>
      </c>
      <c r="B23" s="172"/>
      <c r="C23" s="173"/>
      <c r="D23" s="172"/>
      <c r="E23" s="174"/>
      <c r="F23" s="174"/>
    </row>
    <row r="24" spans="1:6" ht="12.75" customHeight="1" x14ac:dyDescent="0.3">
      <c r="A24" s="175" t="s">
        <v>65</v>
      </c>
      <c r="B24" s="172" t="s">
        <v>20</v>
      </c>
      <c r="C24" s="173">
        <v>12</v>
      </c>
      <c r="D24" s="172" t="s">
        <v>66</v>
      </c>
      <c r="E24" s="174">
        <v>27000</v>
      </c>
      <c r="F24" s="174">
        <f t="shared" ref="F24:F27" si="0">C24*E24</f>
        <v>324000</v>
      </c>
    </row>
    <row r="25" spans="1:6" ht="12.75" customHeight="1" x14ac:dyDescent="0.3">
      <c r="A25" s="175" t="s">
        <v>67</v>
      </c>
      <c r="B25" s="186" t="s">
        <v>20</v>
      </c>
      <c r="C25" s="173">
        <v>3</v>
      </c>
      <c r="D25" s="172" t="s">
        <v>66</v>
      </c>
      <c r="E25" s="174">
        <v>27000</v>
      </c>
      <c r="F25" s="174">
        <f t="shared" si="0"/>
        <v>81000</v>
      </c>
    </row>
    <row r="26" spans="1:6" ht="12.75" customHeight="1" x14ac:dyDescent="0.3">
      <c r="A26" s="175" t="s">
        <v>68</v>
      </c>
      <c r="B26" s="172" t="s">
        <v>20</v>
      </c>
      <c r="C26" s="173">
        <v>0.5</v>
      </c>
      <c r="D26" s="172" t="s">
        <v>66</v>
      </c>
      <c r="E26" s="174">
        <v>27000</v>
      </c>
      <c r="F26" s="174">
        <f t="shared" si="0"/>
        <v>13500</v>
      </c>
    </row>
    <row r="27" spans="1:6" ht="12.75" customHeight="1" x14ac:dyDescent="0.3">
      <c r="A27" s="175" t="s">
        <v>69</v>
      </c>
      <c r="B27" s="172" t="s">
        <v>20</v>
      </c>
      <c r="C27" s="173">
        <v>11</v>
      </c>
      <c r="D27" s="172" t="s">
        <v>70</v>
      </c>
      <c r="E27" s="174">
        <v>27000</v>
      </c>
      <c r="F27" s="174">
        <f t="shared" si="0"/>
        <v>297000</v>
      </c>
    </row>
    <row r="28" spans="1:6" ht="12.75" customHeight="1" x14ac:dyDescent="0.3">
      <c r="A28" s="175" t="s">
        <v>73</v>
      </c>
      <c r="B28" s="172" t="s">
        <v>20</v>
      </c>
      <c r="C28" s="176">
        <v>200</v>
      </c>
      <c r="D28" s="172" t="s">
        <v>72</v>
      </c>
      <c r="E28" s="174">
        <v>27000</v>
      </c>
      <c r="F28" s="174">
        <f t="shared" ref="F28:F38" si="1">C28*E28</f>
        <v>5400000</v>
      </c>
    </row>
    <row r="29" spans="1:6" ht="12.75" customHeight="1" x14ac:dyDescent="0.3">
      <c r="A29" s="175" t="s">
        <v>74</v>
      </c>
      <c r="B29" s="172" t="s">
        <v>20</v>
      </c>
      <c r="C29" s="173">
        <v>25</v>
      </c>
      <c r="D29" s="172" t="s">
        <v>75</v>
      </c>
      <c r="E29" s="174">
        <v>27000</v>
      </c>
      <c r="F29" s="174">
        <f t="shared" si="1"/>
        <v>675000</v>
      </c>
    </row>
    <row r="30" spans="1:6" ht="12.75" customHeight="1" x14ac:dyDescent="0.3">
      <c r="A30" s="175" t="s">
        <v>76</v>
      </c>
      <c r="B30" s="172" t="s">
        <v>20</v>
      </c>
      <c r="C30" s="173">
        <v>40</v>
      </c>
      <c r="D30" s="172" t="s">
        <v>77</v>
      </c>
      <c r="E30" s="174">
        <v>27000</v>
      </c>
      <c r="F30" s="174">
        <f t="shared" si="1"/>
        <v>1080000</v>
      </c>
    </row>
    <row r="31" spans="1:6" ht="12.75" customHeight="1" x14ac:dyDescent="0.3">
      <c r="A31" s="175" t="s">
        <v>78</v>
      </c>
      <c r="B31" s="172" t="s">
        <v>20</v>
      </c>
      <c r="C31" s="176">
        <v>8.75</v>
      </c>
      <c r="D31" s="172" t="s">
        <v>77</v>
      </c>
      <c r="E31" s="174">
        <v>27000</v>
      </c>
      <c r="F31" s="174">
        <f t="shared" si="1"/>
        <v>236250</v>
      </c>
    </row>
    <row r="32" spans="1:6" ht="12.75" customHeight="1" x14ac:dyDescent="0.3">
      <c r="A32" s="175" t="s">
        <v>79</v>
      </c>
      <c r="B32" s="172" t="s">
        <v>20</v>
      </c>
      <c r="C32" s="173">
        <v>12</v>
      </c>
      <c r="D32" s="172" t="s">
        <v>77</v>
      </c>
      <c r="E32" s="174">
        <v>27000</v>
      </c>
      <c r="F32" s="174">
        <f t="shared" si="1"/>
        <v>324000</v>
      </c>
    </row>
    <row r="33" spans="1:6" ht="12.75" customHeight="1" x14ac:dyDescent="0.3">
      <c r="A33" s="175" t="s">
        <v>80</v>
      </c>
      <c r="B33" s="172" t="s">
        <v>20</v>
      </c>
      <c r="C33" s="176">
        <v>24</v>
      </c>
      <c r="D33" s="172" t="s">
        <v>81</v>
      </c>
      <c r="E33" s="174">
        <v>27000</v>
      </c>
      <c r="F33" s="174">
        <f t="shared" si="1"/>
        <v>648000</v>
      </c>
    </row>
    <row r="34" spans="1:6" ht="12.75" customHeight="1" x14ac:dyDescent="0.3">
      <c r="A34" s="175" t="s">
        <v>82</v>
      </c>
      <c r="B34" s="172" t="s">
        <v>20</v>
      </c>
      <c r="C34" s="173">
        <v>15</v>
      </c>
      <c r="D34" s="172" t="s">
        <v>81</v>
      </c>
      <c r="E34" s="174">
        <v>27000</v>
      </c>
      <c r="F34" s="174">
        <f t="shared" si="1"/>
        <v>405000</v>
      </c>
    </row>
    <row r="35" spans="1:6" ht="12.75" customHeight="1" x14ac:dyDescent="0.3">
      <c r="A35" s="171" t="s">
        <v>112</v>
      </c>
      <c r="B35" s="172"/>
      <c r="C35" s="173"/>
      <c r="D35" s="172"/>
      <c r="E35" s="174"/>
      <c r="F35" s="174"/>
    </row>
    <row r="36" spans="1:6" ht="12.75" customHeight="1" x14ac:dyDescent="0.3">
      <c r="A36" s="175" t="s">
        <v>109</v>
      </c>
      <c r="B36" s="172" t="s">
        <v>20</v>
      </c>
      <c r="C36" s="173">
        <v>72</v>
      </c>
      <c r="D36" s="172" t="s">
        <v>77</v>
      </c>
      <c r="E36" s="174">
        <v>27000</v>
      </c>
      <c r="F36" s="174">
        <f t="shared" si="1"/>
        <v>1944000</v>
      </c>
    </row>
    <row r="37" spans="1:6" ht="27" customHeight="1" x14ac:dyDescent="0.3">
      <c r="A37" s="171" t="s">
        <v>113</v>
      </c>
      <c r="B37" s="172"/>
      <c r="C37" s="173"/>
      <c r="D37" s="172"/>
      <c r="E37" s="174"/>
      <c r="F37" s="174"/>
    </row>
    <row r="38" spans="1:6" ht="12.75" customHeight="1" x14ac:dyDescent="0.3">
      <c r="A38" s="175" t="s">
        <v>135</v>
      </c>
      <c r="B38" s="172" t="s">
        <v>20</v>
      </c>
      <c r="C38" s="173">
        <v>35</v>
      </c>
      <c r="D38" s="172" t="s">
        <v>146</v>
      </c>
      <c r="E38" s="174">
        <v>27000</v>
      </c>
      <c r="F38" s="174">
        <f t="shared" si="1"/>
        <v>945000</v>
      </c>
    </row>
    <row r="39" spans="1:6" ht="12.75" customHeight="1" x14ac:dyDescent="0.3">
      <c r="A39" s="23" t="s">
        <v>21</v>
      </c>
      <c r="B39" s="24"/>
      <c r="C39" s="24"/>
      <c r="D39" s="24"/>
      <c r="E39" s="25"/>
      <c r="F39" s="123">
        <f>SUM(F21:F38)</f>
        <v>12822750</v>
      </c>
    </row>
    <row r="40" spans="1:6" ht="12" customHeight="1" x14ac:dyDescent="0.3">
      <c r="A40" s="15"/>
      <c r="B40" s="17"/>
      <c r="C40" s="17"/>
      <c r="D40" s="17"/>
      <c r="E40" s="26"/>
      <c r="F40" s="102"/>
    </row>
    <row r="41" spans="1:6" ht="12" customHeight="1" x14ac:dyDescent="0.3">
      <c r="A41" s="27" t="s">
        <v>22</v>
      </c>
      <c r="B41" s="28"/>
      <c r="C41" s="29"/>
      <c r="D41" s="29"/>
      <c r="E41" s="30"/>
      <c r="F41" s="103"/>
    </row>
    <row r="42" spans="1:6" ht="24" customHeight="1" x14ac:dyDescent="0.3">
      <c r="A42" s="31" t="s">
        <v>14</v>
      </c>
      <c r="B42" s="32" t="s">
        <v>15</v>
      </c>
      <c r="C42" s="32" t="s">
        <v>16</v>
      </c>
      <c r="D42" s="31" t="s">
        <v>57</v>
      </c>
      <c r="E42" s="32" t="s">
        <v>18</v>
      </c>
      <c r="F42" s="31" t="s">
        <v>19</v>
      </c>
    </row>
    <row r="43" spans="1:6" ht="12" customHeight="1" x14ac:dyDescent="0.3">
      <c r="A43" s="33" t="s">
        <v>83</v>
      </c>
      <c r="B43" s="34" t="s">
        <v>83</v>
      </c>
      <c r="C43" s="34" t="s">
        <v>83</v>
      </c>
      <c r="D43" s="34" t="s">
        <v>83</v>
      </c>
      <c r="E43" s="89"/>
      <c r="F43" s="125"/>
    </row>
    <row r="44" spans="1:6" ht="12" customHeight="1" x14ac:dyDescent="0.3">
      <c r="A44" s="35" t="s">
        <v>23</v>
      </c>
      <c r="B44" s="36"/>
      <c r="C44" s="36"/>
      <c r="D44" s="36"/>
      <c r="E44" s="37"/>
      <c r="F44" s="126"/>
    </row>
    <row r="45" spans="1:6" ht="12" customHeight="1" x14ac:dyDescent="0.3">
      <c r="A45" s="38"/>
      <c r="B45" s="39"/>
      <c r="C45" s="39"/>
      <c r="D45" s="39"/>
      <c r="E45" s="40"/>
      <c r="F45" s="104"/>
    </row>
    <row r="46" spans="1:6" ht="12" customHeight="1" x14ac:dyDescent="0.3">
      <c r="A46" s="27" t="s">
        <v>24</v>
      </c>
      <c r="B46" s="28"/>
      <c r="C46" s="29"/>
      <c r="D46" s="29"/>
      <c r="E46" s="30"/>
      <c r="F46" s="103"/>
    </row>
    <row r="47" spans="1:6" ht="24" customHeight="1" x14ac:dyDescent="0.3">
      <c r="A47" s="41" t="s">
        <v>14</v>
      </c>
      <c r="B47" s="41" t="s">
        <v>15</v>
      </c>
      <c r="C47" s="41" t="s">
        <v>16</v>
      </c>
      <c r="D47" s="41" t="s">
        <v>17</v>
      </c>
      <c r="E47" s="42" t="s">
        <v>18</v>
      </c>
      <c r="F47" s="41" t="s">
        <v>19</v>
      </c>
    </row>
    <row r="48" spans="1:6" ht="30" customHeight="1" x14ac:dyDescent="0.3">
      <c r="A48" s="179" t="s">
        <v>127</v>
      </c>
      <c r="B48" s="165" t="s">
        <v>84</v>
      </c>
      <c r="C48" s="166">
        <f>14.5+12</f>
        <v>26.5</v>
      </c>
      <c r="D48" s="165" t="s">
        <v>70</v>
      </c>
      <c r="E48" s="167">
        <f>18000*1.19</f>
        <v>21420</v>
      </c>
      <c r="F48" s="167">
        <f>C48*E48/2</f>
        <v>283815</v>
      </c>
    </row>
    <row r="49" spans="1:226" ht="12.75" customHeight="1" x14ac:dyDescent="0.3">
      <c r="A49" s="43" t="s">
        <v>25</v>
      </c>
      <c r="B49" s="44"/>
      <c r="C49" s="44"/>
      <c r="D49" s="44"/>
      <c r="E49" s="44"/>
      <c r="F49" s="124">
        <f>SUM(F48:F48)</f>
        <v>283815</v>
      </c>
    </row>
    <row r="50" spans="1:226" ht="12" customHeight="1" x14ac:dyDescent="0.3">
      <c r="A50" s="38"/>
      <c r="B50" s="39"/>
      <c r="C50" s="39"/>
      <c r="D50" s="39"/>
      <c r="E50" s="40"/>
      <c r="F50" s="104"/>
    </row>
    <row r="51" spans="1:226" ht="12" customHeight="1" x14ac:dyDescent="0.3">
      <c r="A51" s="27" t="s">
        <v>26</v>
      </c>
      <c r="B51" s="28"/>
      <c r="C51" s="29"/>
      <c r="D51" s="29"/>
      <c r="E51" s="30"/>
      <c r="F51" s="103"/>
    </row>
    <row r="52" spans="1:226" ht="24" customHeight="1" x14ac:dyDescent="0.3">
      <c r="A52" s="92" t="s">
        <v>27</v>
      </c>
      <c r="B52" s="92" t="s">
        <v>28</v>
      </c>
      <c r="C52" s="92" t="s">
        <v>29</v>
      </c>
      <c r="D52" s="92" t="s">
        <v>17</v>
      </c>
      <c r="E52" s="92" t="s">
        <v>18</v>
      </c>
      <c r="F52" s="105" t="s">
        <v>19</v>
      </c>
    </row>
    <row r="53" spans="1:226" ht="12.75" customHeight="1" x14ac:dyDescent="0.3">
      <c r="A53" s="132" t="s">
        <v>115</v>
      </c>
      <c r="B53" s="95"/>
      <c r="C53" s="94"/>
      <c r="D53" s="95"/>
      <c r="E53" s="95"/>
      <c r="F53" s="94"/>
    </row>
    <row r="54" spans="1:226" ht="24" customHeight="1" x14ac:dyDescent="0.3">
      <c r="A54" s="150" t="s">
        <v>132</v>
      </c>
      <c r="B54" s="151" t="s">
        <v>60</v>
      </c>
      <c r="C54" s="152">
        <f>2850-500</f>
        <v>2350</v>
      </c>
      <c r="D54" s="151" t="s">
        <v>64</v>
      </c>
      <c r="E54" s="154">
        <f>3700*1.19</f>
        <v>4403</v>
      </c>
      <c r="F54" s="191">
        <f>C54*E54/3</f>
        <v>3449016.6666666665</v>
      </c>
    </row>
    <row r="55" spans="1:226" ht="31.5" customHeight="1" x14ac:dyDescent="0.3">
      <c r="A55" s="155" t="s">
        <v>137</v>
      </c>
      <c r="B55" s="151" t="s">
        <v>86</v>
      </c>
      <c r="C55" s="152">
        <v>500</v>
      </c>
      <c r="D55" s="151" t="s">
        <v>64</v>
      </c>
      <c r="E55" s="154">
        <f>2950*1.19</f>
        <v>3510.5</v>
      </c>
      <c r="F55" s="154">
        <f>C55*E55/2</f>
        <v>877625</v>
      </c>
    </row>
    <row r="56" spans="1:226" ht="26.25" customHeight="1" x14ac:dyDescent="0.3">
      <c r="A56" s="155" t="s">
        <v>133</v>
      </c>
      <c r="B56" s="151" t="s">
        <v>60</v>
      </c>
      <c r="C56" s="152">
        <v>330</v>
      </c>
      <c r="D56" s="151" t="s">
        <v>64</v>
      </c>
      <c r="E56" s="154">
        <f>3700*1.19</f>
        <v>4403</v>
      </c>
      <c r="F56" s="154">
        <f>C56*E56/3</f>
        <v>484330</v>
      </c>
    </row>
    <row r="57" spans="1:226" ht="24.75" customHeight="1" x14ac:dyDescent="0.3">
      <c r="A57" s="155" t="s">
        <v>134</v>
      </c>
      <c r="B57" s="151" t="s">
        <v>60</v>
      </c>
      <c r="C57" s="152">
        <v>230</v>
      </c>
      <c r="D57" s="151" t="s">
        <v>64</v>
      </c>
      <c r="E57" s="154">
        <f>3700*1.19</f>
        <v>4403</v>
      </c>
      <c r="F57" s="154">
        <f>C57*E57/3</f>
        <v>337563.33333333331</v>
      </c>
    </row>
    <row r="58" spans="1:226" ht="26.25" customHeight="1" x14ac:dyDescent="0.3">
      <c r="A58" s="155" t="s">
        <v>119</v>
      </c>
      <c r="B58" s="151" t="s">
        <v>60</v>
      </c>
      <c r="C58" s="152">
        <v>215</v>
      </c>
      <c r="D58" s="151" t="s">
        <v>64</v>
      </c>
      <c r="E58" s="154">
        <f>3700*1.19</f>
        <v>4403</v>
      </c>
      <c r="F58" s="154">
        <f>C58*E58/3</f>
        <v>315548.33333333331</v>
      </c>
    </row>
    <row r="59" spans="1:226" ht="30" customHeight="1" x14ac:dyDescent="0.3">
      <c r="A59" s="155" t="s">
        <v>120</v>
      </c>
      <c r="B59" s="151" t="s">
        <v>60</v>
      </c>
      <c r="C59" s="152">
        <v>80</v>
      </c>
      <c r="D59" s="151" t="s">
        <v>64</v>
      </c>
      <c r="E59" s="154">
        <f>2950*1.19</f>
        <v>3510.5</v>
      </c>
      <c r="F59" s="154">
        <f>C59*E59/2</f>
        <v>140420</v>
      </c>
    </row>
    <row r="60" spans="1:226" ht="28.5" customHeight="1" x14ac:dyDescent="0.3">
      <c r="A60" s="140" t="s">
        <v>122</v>
      </c>
      <c r="B60" s="142" t="s">
        <v>121</v>
      </c>
      <c r="C60" s="137">
        <v>4</v>
      </c>
      <c r="D60" s="151" t="s">
        <v>64</v>
      </c>
      <c r="E60" s="138">
        <v>52836</v>
      </c>
      <c r="F60" s="139">
        <f>C60*E60/8</f>
        <v>26418</v>
      </c>
    </row>
    <row r="61" spans="1:226" ht="43.5" customHeight="1" x14ac:dyDescent="0.3">
      <c r="A61" s="155" t="s">
        <v>138</v>
      </c>
      <c r="B61" s="151" t="s">
        <v>60</v>
      </c>
      <c r="C61" s="152">
        <v>420</v>
      </c>
      <c r="D61" s="151" t="s">
        <v>64</v>
      </c>
      <c r="E61" s="154">
        <f>2950*1.19</f>
        <v>3510.5</v>
      </c>
      <c r="F61" s="191">
        <f>C61*E61/2</f>
        <v>737205</v>
      </c>
    </row>
    <row r="62" spans="1:226" s="144" customFormat="1" ht="12.75" customHeight="1" x14ac:dyDescent="0.3">
      <c r="A62" s="145" t="s">
        <v>123</v>
      </c>
      <c r="B62" s="160"/>
      <c r="C62" s="161"/>
      <c r="D62" s="160"/>
      <c r="E62" s="162"/>
      <c r="F62" s="162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</row>
    <row r="63" spans="1:226" ht="24.75" customHeight="1" x14ac:dyDescent="0.3">
      <c r="A63" s="158" t="s">
        <v>131</v>
      </c>
      <c r="B63" s="151" t="s">
        <v>85</v>
      </c>
      <c r="C63" s="152">
        <v>11520</v>
      </c>
      <c r="D63" s="151" t="s">
        <v>71</v>
      </c>
      <c r="E63" s="154">
        <f>42*1.19</f>
        <v>49.98</v>
      </c>
      <c r="F63" s="154">
        <f>C63*E63/2</f>
        <v>287884.79999999999</v>
      </c>
    </row>
    <row r="64" spans="1:226" ht="12.75" customHeight="1" x14ac:dyDescent="0.3">
      <c r="A64" s="155" t="s">
        <v>87</v>
      </c>
      <c r="B64" s="153" t="s">
        <v>60</v>
      </c>
      <c r="C64" s="178">
        <v>40.510127531882972</v>
      </c>
      <c r="D64" s="153" t="s">
        <v>107</v>
      </c>
      <c r="E64" s="157">
        <f>4202*1.19</f>
        <v>5000.38</v>
      </c>
      <c r="F64" s="157">
        <f t="shared" ref="F64" si="2">C64*E64</f>
        <v>202566.03150787699</v>
      </c>
    </row>
    <row r="65" spans="1:6" ht="27" customHeight="1" x14ac:dyDescent="0.3">
      <c r="A65" s="155" t="s">
        <v>125</v>
      </c>
      <c r="B65" s="153" t="s">
        <v>124</v>
      </c>
      <c r="C65" s="178">
        <v>1</v>
      </c>
      <c r="D65" s="153" t="s">
        <v>126</v>
      </c>
      <c r="E65" s="157">
        <v>10000000</v>
      </c>
      <c r="F65" s="157">
        <f>C65*E65/8</f>
        <v>1250000</v>
      </c>
    </row>
    <row r="66" spans="1:6" ht="12.75" customHeight="1" x14ac:dyDescent="0.3">
      <c r="A66" s="132" t="s">
        <v>141</v>
      </c>
      <c r="B66" s="91"/>
      <c r="C66" s="93"/>
      <c r="D66" s="91"/>
      <c r="E66" s="94"/>
      <c r="F66" s="94"/>
    </row>
    <row r="67" spans="1:6" ht="12.75" customHeight="1" x14ac:dyDescent="0.3">
      <c r="A67" s="158" t="s">
        <v>142</v>
      </c>
      <c r="B67" s="153" t="s">
        <v>59</v>
      </c>
      <c r="C67" s="156">
        <v>32000</v>
      </c>
      <c r="D67" s="153" t="s">
        <v>70</v>
      </c>
      <c r="E67" s="157">
        <v>250</v>
      </c>
      <c r="F67" s="183">
        <f>C67*E67</f>
        <v>8000000</v>
      </c>
    </row>
    <row r="68" spans="1:6" ht="12.75" customHeight="1" x14ac:dyDescent="0.3">
      <c r="B68" s="91"/>
      <c r="C68" s="93"/>
      <c r="D68" s="91"/>
      <c r="E68" s="94"/>
      <c r="F68" s="94"/>
    </row>
    <row r="69" spans="1:6" ht="12.75" customHeight="1" x14ac:dyDescent="0.3">
      <c r="A69" s="133" t="s">
        <v>58</v>
      </c>
      <c r="B69" s="91"/>
      <c r="C69" s="93"/>
      <c r="D69" s="91"/>
      <c r="E69" s="94"/>
      <c r="F69" s="94"/>
    </row>
    <row r="70" spans="1:6" ht="23.4" customHeight="1" x14ac:dyDescent="0.3">
      <c r="A70" s="158" t="s">
        <v>152</v>
      </c>
      <c r="B70" s="153" t="s">
        <v>88</v>
      </c>
      <c r="C70" s="156">
        <v>60</v>
      </c>
      <c r="D70" s="181" t="s">
        <v>70</v>
      </c>
      <c r="E70" s="183">
        <v>8000</v>
      </c>
      <c r="F70" s="183">
        <f>C70*E70/2</f>
        <v>240000</v>
      </c>
    </row>
    <row r="71" spans="1:6" ht="23.1" customHeight="1" x14ac:dyDescent="0.3">
      <c r="A71" s="158" t="s">
        <v>154</v>
      </c>
      <c r="B71" s="153" t="s">
        <v>86</v>
      </c>
      <c r="C71" s="156">
        <v>200</v>
      </c>
      <c r="D71" s="181" t="s">
        <v>70</v>
      </c>
      <c r="E71" s="183">
        <f>36593/25</f>
        <v>1463.72</v>
      </c>
      <c r="F71" s="183">
        <f t="shared" ref="F71:F91" si="3">C71*E71</f>
        <v>292744</v>
      </c>
    </row>
    <row r="72" spans="1:6" ht="12.75" customHeight="1" x14ac:dyDescent="0.3">
      <c r="A72" s="159" t="s">
        <v>89</v>
      </c>
      <c r="B72" s="153" t="s">
        <v>90</v>
      </c>
      <c r="C72" s="156">
        <v>600</v>
      </c>
      <c r="D72" s="181" t="s">
        <v>77</v>
      </c>
      <c r="E72" s="183">
        <v>1946</v>
      </c>
      <c r="F72" s="183">
        <f t="shared" si="3"/>
        <v>1167600</v>
      </c>
    </row>
    <row r="73" spans="1:6" ht="12.75" customHeight="1" x14ac:dyDescent="0.3">
      <c r="A73" s="159" t="s">
        <v>91</v>
      </c>
      <c r="B73" s="153" t="s">
        <v>86</v>
      </c>
      <c r="C73" s="156">
        <v>300</v>
      </c>
      <c r="D73" s="181" t="s">
        <v>77</v>
      </c>
      <c r="E73" s="183">
        <f>666*1.19</f>
        <v>792.54</v>
      </c>
      <c r="F73" s="183">
        <f t="shared" si="3"/>
        <v>237762</v>
      </c>
    </row>
    <row r="74" spans="1:6" ht="12.75" customHeight="1" x14ac:dyDescent="0.3">
      <c r="A74" s="159" t="s">
        <v>92</v>
      </c>
      <c r="B74" s="153" t="s">
        <v>86</v>
      </c>
      <c r="C74" s="156">
        <v>100</v>
      </c>
      <c r="D74" s="181" t="s">
        <v>77</v>
      </c>
      <c r="E74" s="183">
        <f>598*1.19</f>
        <v>711.62</v>
      </c>
      <c r="F74" s="183">
        <f t="shared" si="3"/>
        <v>71162</v>
      </c>
    </row>
    <row r="75" spans="1:6" ht="12.75" customHeight="1" x14ac:dyDescent="0.3">
      <c r="A75" s="159" t="s">
        <v>93</v>
      </c>
      <c r="B75" s="153" t="s">
        <v>86</v>
      </c>
      <c r="C75" s="156">
        <v>100</v>
      </c>
      <c r="D75" s="181" t="s">
        <v>77</v>
      </c>
      <c r="E75" s="183">
        <f>1610*1.19</f>
        <v>1915.8999999999999</v>
      </c>
      <c r="F75" s="183">
        <f t="shared" si="3"/>
        <v>191590</v>
      </c>
    </row>
    <row r="76" spans="1:6" ht="12.75" customHeight="1" x14ac:dyDescent="0.3">
      <c r="A76" s="159" t="s">
        <v>94</v>
      </c>
      <c r="B76" s="153" t="s">
        <v>86</v>
      </c>
      <c r="C76" s="156">
        <v>25</v>
      </c>
      <c r="D76" s="181" t="s">
        <v>77</v>
      </c>
      <c r="E76" s="183">
        <f>358*1.19</f>
        <v>426.02</v>
      </c>
      <c r="F76" s="183">
        <f t="shared" si="3"/>
        <v>10650.5</v>
      </c>
    </row>
    <row r="77" spans="1:6" ht="12.75" customHeight="1" x14ac:dyDescent="0.3">
      <c r="A77" s="159" t="s">
        <v>95</v>
      </c>
      <c r="B77" s="153" t="s">
        <v>86</v>
      </c>
      <c r="C77" s="156">
        <v>25</v>
      </c>
      <c r="D77" s="181" t="s">
        <v>96</v>
      </c>
      <c r="E77" s="183">
        <f>2690*1.19</f>
        <v>3201.1</v>
      </c>
      <c r="F77" s="183">
        <f t="shared" si="3"/>
        <v>80027.5</v>
      </c>
    </row>
    <row r="78" spans="1:6" ht="12.75" customHeight="1" x14ac:dyDescent="0.3">
      <c r="A78" s="132" t="s">
        <v>114</v>
      </c>
      <c r="B78" s="91"/>
      <c r="C78" s="93"/>
      <c r="D78" s="194"/>
      <c r="E78" s="195"/>
      <c r="F78" s="195"/>
    </row>
    <row r="79" spans="1:6" ht="12.75" customHeight="1" x14ac:dyDescent="0.3">
      <c r="A79" s="187" t="s">
        <v>102</v>
      </c>
      <c r="B79" s="91"/>
      <c r="C79" s="93"/>
      <c r="D79" s="91"/>
      <c r="E79" s="94"/>
      <c r="F79" s="94"/>
    </row>
    <row r="80" spans="1:6" ht="12.75" customHeight="1" x14ac:dyDescent="0.3">
      <c r="A80" s="159" t="s">
        <v>143</v>
      </c>
      <c r="B80" s="153" t="s">
        <v>128</v>
      </c>
      <c r="C80" s="156">
        <v>2</v>
      </c>
      <c r="D80" s="153" t="s">
        <v>77</v>
      </c>
      <c r="E80" s="183">
        <v>27665</v>
      </c>
      <c r="F80" s="157">
        <f>C80*E80</f>
        <v>55330</v>
      </c>
    </row>
    <row r="81" spans="1:226" ht="12.75" customHeight="1" x14ac:dyDescent="0.3">
      <c r="A81" s="180" t="s">
        <v>116</v>
      </c>
      <c r="B81" s="181" t="s">
        <v>128</v>
      </c>
      <c r="C81" s="182">
        <v>1</v>
      </c>
      <c r="D81" s="181" t="s">
        <v>77</v>
      </c>
      <c r="E81" s="183">
        <v>5500</v>
      </c>
      <c r="F81" s="183">
        <f>C81*E81</f>
        <v>5500</v>
      </c>
    </row>
    <row r="82" spans="1:226" s="144" customFormat="1" ht="12.75" hidden="1" customHeight="1" x14ac:dyDescent="0.3">
      <c r="A82" s="180"/>
      <c r="B82" s="181"/>
      <c r="C82" s="182"/>
      <c r="D82" s="181"/>
      <c r="E82" s="183"/>
      <c r="F82" s="18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</row>
    <row r="83" spans="1:226" ht="12.75" hidden="1" customHeight="1" x14ac:dyDescent="0.3">
      <c r="A83" s="180"/>
      <c r="B83" s="181"/>
      <c r="C83" s="182"/>
      <c r="D83" s="181"/>
      <c r="E83" s="183"/>
      <c r="F83" s="183"/>
    </row>
    <row r="84" spans="1:226" ht="12.75" hidden="1" customHeight="1" x14ac:dyDescent="0.3">
      <c r="A84" s="180"/>
      <c r="B84" s="181"/>
      <c r="C84" s="182"/>
      <c r="D84" s="181"/>
      <c r="E84" s="183"/>
      <c r="F84" s="183"/>
    </row>
    <row r="85" spans="1:226" ht="12.75" customHeight="1" x14ac:dyDescent="0.3">
      <c r="A85" s="180" t="s">
        <v>144</v>
      </c>
      <c r="B85" s="181" t="s">
        <v>128</v>
      </c>
      <c r="C85" s="182">
        <v>2</v>
      </c>
      <c r="D85" s="181" t="s">
        <v>77</v>
      </c>
      <c r="E85" s="183">
        <v>97052</v>
      </c>
      <c r="F85" s="183">
        <f>C85*E85</f>
        <v>194104</v>
      </c>
    </row>
    <row r="86" spans="1:226" ht="12.75" customHeight="1" x14ac:dyDescent="0.3">
      <c r="A86" s="180" t="s">
        <v>155</v>
      </c>
      <c r="B86" s="181" t="s">
        <v>86</v>
      </c>
      <c r="C86" s="182">
        <v>0.5</v>
      </c>
      <c r="D86" s="181" t="s">
        <v>77</v>
      </c>
      <c r="E86" s="183">
        <v>112150</v>
      </c>
      <c r="F86" s="183">
        <f>C86*E86</f>
        <v>56075</v>
      </c>
    </row>
    <row r="87" spans="1:226" ht="12.75" customHeight="1" x14ac:dyDescent="0.3">
      <c r="A87" s="184" t="s">
        <v>103</v>
      </c>
      <c r="B87" s="181"/>
      <c r="C87" s="182"/>
      <c r="D87" s="181"/>
      <c r="E87" s="183"/>
      <c r="F87" s="183"/>
    </row>
    <row r="88" spans="1:226" ht="12.75" customHeight="1" x14ac:dyDescent="0.3">
      <c r="A88" s="180" t="s">
        <v>145</v>
      </c>
      <c r="B88" s="181" t="s">
        <v>128</v>
      </c>
      <c r="C88" s="182">
        <v>1</v>
      </c>
      <c r="D88" s="181" t="s">
        <v>77</v>
      </c>
      <c r="E88" s="183">
        <v>66820</v>
      </c>
      <c r="F88" s="183">
        <f>C88*E88</f>
        <v>66820</v>
      </c>
    </row>
    <row r="89" spans="1:226" ht="12.75" customHeight="1" x14ac:dyDescent="0.3">
      <c r="A89" s="180" t="s">
        <v>151</v>
      </c>
      <c r="B89" s="181" t="s">
        <v>128</v>
      </c>
      <c r="C89" s="182">
        <v>0.4</v>
      </c>
      <c r="D89" s="181" t="s">
        <v>156</v>
      </c>
      <c r="E89" s="183">
        <f>68153*1.19</f>
        <v>81102.069999999992</v>
      </c>
      <c r="F89" s="183">
        <f>C89*E89</f>
        <v>32440.827999999998</v>
      </c>
    </row>
    <row r="90" spans="1:226" ht="12.75" customHeight="1" x14ac:dyDescent="0.3">
      <c r="A90" s="180" t="s">
        <v>97</v>
      </c>
      <c r="B90" s="181" t="s">
        <v>128</v>
      </c>
      <c r="C90" s="182">
        <v>1</v>
      </c>
      <c r="D90" s="181" t="s">
        <v>98</v>
      </c>
      <c r="E90" s="183">
        <f>87311*1.19</f>
        <v>103900.09</v>
      </c>
      <c r="F90" s="183">
        <f>C90*E90</f>
        <v>103900.09</v>
      </c>
    </row>
    <row r="91" spans="1:226" ht="12.75" customHeight="1" x14ac:dyDescent="0.3">
      <c r="A91" s="180" t="s">
        <v>110</v>
      </c>
      <c r="B91" s="181" t="s">
        <v>86</v>
      </c>
      <c r="C91" s="182">
        <v>5</v>
      </c>
      <c r="D91" s="181" t="s">
        <v>153</v>
      </c>
      <c r="E91" s="183">
        <f>72400/25</f>
        <v>2896</v>
      </c>
      <c r="F91" s="183">
        <f t="shared" si="3"/>
        <v>14480</v>
      </c>
    </row>
    <row r="92" spans="1:226" ht="12.75" customHeight="1" x14ac:dyDescent="0.3">
      <c r="A92" s="133" t="s">
        <v>117</v>
      </c>
      <c r="B92" s="91"/>
      <c r="C92" s="93"/>
      <c r="D92" s="91"/>
      <c r="E92" s="94"/>
      <c r="F92" s="94"/>
    </row>
    <row r="93" spans="1:226" ht="12.75" customHeight="1" x14ac:dyDescent="0.3">
      <c r="A93" s="141" t="s">
        <v>108</v>
      </c>
      <c r="B93" s="181" t="s">
        <v>118</v>
      </c>
      <c r="C93" s="182">
        <f>2/2</f>
        <v>1</v>
      </c>
      <c r="D93" s="181" t="s">
        <v>107</v>
      </c>
      <c r="E93" s="183">
        <f>56000*1.19</f>
        <v>66640</v>
      </c>
      <c r="F93" s="183">
        <f>E93*C93</f>
        <v>66640</v>
      </c>
    </row>
    <row r="94" spans="1:226" ht="12.75" customHeight="1" x14ac:dyDescent="0.3">
      <c r="A94" s="96"/>
      <c r="B94" s="91"/>
      <c r="C94" s="93"/>
      <c r="D94" s="91"/>
      <c r="E94" s="94"/>
      <c r="F94" s="94"/>
    </row>
    <row r="95" spans="1:226" ht="13.5" customHeight="1" x14ac:dyDescent="0.3">
      <c r="A95" s="118" t="s">
        <v>30</v>
      </c>
      <c r="B95" s="119"/>
      <c r="C95" s="119"/>
      <c r="D95" s="119"/>
      <c r="E95" s="120"/>
      <c r="F95" s="127">
        <f>SUM(F54:F93)</f>
        <v>18995403.08284121</v>
      </c>
    </row>
    <row r="96" spans="1:226" ht="12" customHeight="1" x14ac:dyDescent="0.3">
      <c r="A96" s="113"/>
      <c r="B96" s="114"/>
      <c r="C96" s="114"/>
      <c r="D96" s="115"/>
      <c r="E96" s="116"/>
      <c r="F96" s="117"/>
    </row>
    <row r="97" spans="1:6" ht="12" customHeight="1" x14ac:dyDescent="0.3">
      <c r="A97" s="27" t="s">
        <v>31</v>
      </c>
      <c r="B97" s="28"/>
      <c r="C97" s="29"/>
      <c r="D97" s="29"/>
      <c r="E97" s="30"/>
      <c r="F97" s="103"/>
    </row>
    <row r="98" spans="1:6" ht="24" customHeight="1" x14ac:dyDescent="0.3">
      <c r="A98" s="112" t="s">
        <v>32</v>
      </c>
      <c r="B98" s="92" t="s">
        <v>28</v>
      </c>
      <c r="C98" s="92" t="s">
        <v>29</v>
      </c>
      <c r="D98" s="112" t="s">
        <v>17</v>
      </c>
      <c r="E98" s="92" t="s">
        <v>18</v>
      </c>
      <c r="F98" s="112" t="s">
        <v>19</v>
      </c>
    </row>
    <row r="99" spans="1:6" ht="16.5" customHeight="1" x14ac:dyDescent="0.3">
      <c r="A99" s="163" t="s">
        <v>104</v>
      </c>
      <c r="B99" s="163" t="s">
        <v>105</v>
      </c>
      <c r="C99" s="163">
        <v>6</v>
      </c>
      <c r="D99" s="163" t="s">
        <v>106</v>
      </c>
      <c r="E99" s="164">
        <v>100000</v>
      </c>
      <c r="F99" s="164">
        <f t="shared" ref="F99" si="4">E99*C99</f>
        <v>600000</v>
      </c>
    </row>
    <row r="100" spans="1:6" ht="13.5" customHeight="1" x14ac:dyDescent="0.3">
      <c r="A100" s="147" t="s">
        <v>33</v>
      </c>
      <c r="B100" s="45"/>
      <c r="C100" s="45"/>
      <c r="D100" s="111"/>
      <c r="E100" s="46"/>
      <c r="F100" s="128">
        <f>SUM(F99)</f>
        <v>600000</v>
      </c>
    </row>
    <row r="101" spans="1:6" ht="12" customHeight="1" x14ac:dyDescent="0.3">
      <c r="A101" s="56"/>
      <c r="B101" s="56"/>
      <c r="C101" s="56"/>
      <c r="D101" s="56"/>
      <c r="E101" s="57"/>
      <c r="F101" s="106"/>
    </row>
    <row r="102" spans="1:6" ht="12" customHeight="1" x14ac:dyDescent="0.3">
      <c r="A102" s="58" t="s">
        <v>34</v>
      </c>
      <c r="B102" s="59"/>
      <c r="C102" s="59"/>
      <c r="D102" s="59"/>
      <c r="E102" s="59"/>
      <c r="F102" s="60">
        <f>F39+F44+F49+F95+F100</f>
        <v>32701968.08284121</v>
      </c>
    </row>
    <row r="103" spans="1:6" ht="12" customHeight="1" x14ac:dyDescent="0.3">
      <c r="A103" s="61" t="s">
        <v>35</v>
      </c>
      <c r="B103" s="48"/>
      <c r="C103" s="48"/>
      <c r="D103" s="48"/>
      <c r="E103" s="48"/>
      <c r="F103" s="62">
        <f>F102*0.05</f>
        <v>1635098.4041420605</v>
      </c>
    </row>
    <row r="104" spans="1:6" ht="12" customHeight="1" x14ac:dyDescent="0.3">
      <c r="A104" s="63" t="s">
        <v>36</v>
      </c>
      <c r="B104" s="47"/>
      <c r="C104" s="47"/>
      <c r="D104" s="47"/>
      <c r="E104" s="47"/>
      <c r="F104" s="64">
        <f>F103+F102</f>
        <v>34337066.486983269</v>
      </c>
    </row>
    <row r="105" spans="1:6" ht="12" customHeight="1" x14ac:dyDescent="0.3">
      <c r="A105" s="61" t="s">
        <v>37</v>
      </c>
      <c r="B105" s="48"/>
      <c r="C105" s="48"/>
      <c r="D105" s="48"/>
      <c r="E105" s="48"/>
      <c r="F105" s="62">
        <f>F12</f>
        <v>41142857.142857142</v>
      </c>
    </row>
    <row r="106" spans="1:6" ht="12" customHeight="1" x14ac:dyDescent="0.3">
      <c r="A106" s="65" t="s">
        <v>38</v>
      </c>
      <c r="B106" s="66"/>
      <c r="C106" s="66"/>
      <c r="D106" s="66"/>
      <c r="E106" s="66"/>
      <c r="F106" s="60">
        <f>F105-F104</f>
        <v>6805790.6558738723</v>
      </c>
    </row>
    <row r="107" spans="1:6" ht="12" customHeight="1" x14ac:dyDescent="0.3">
      <c r="A107" s="54" t="s">
        <v>39</v>
      </c>
      <c r="B107" s="55"/>
      <c r="C107" s="55"/>
      <c r="D107" s="55"/>
      <c r="E107" s="55"/>
      <c r="F107" s="107"/>
    </row>
    <row r="108" spans="1:6" ht="12.75" customHeight="1" thickBot="1" x14ac:dyDescent="0.35">
      <c r="A108" s="67"/>
      <c r="B108" s="55"/>
      <c r="C108" s="55"/>
      <c r="D108" s="55"/>
      <c r="E108" s="55"/>
      <c r="F108" s="107"/>
    </row>
    <row r="109" spans="1:6" ht="12" customHeight="1" x14ac:dyDescent="0.3">
      <c r="A109" s="78" t="s">
        <v>40</v>
      </c>
      <c r="B109" s="79"/>
      <c r="C109" s="79"/>
      <c r="D109" s="79"/>
      <c r="E109" s="80"/>
      <c r="F109" s="107"/>
    </row>
    <row r="110" spans="1:6" ht="12" customHeight="1" x14ac:dyDescent="0.3">
      <c r="A110" s="81" t="s">
        <v>41</v>
      </c>
      <c r="B110" s="53"/>
      <c r="C110" s="53"/>
      <c r="D110" s="53"/>
      <c r="E110" s="82"/>
      <c r="F110" s="107"/>
    </row>
    <row r="111" spans="1:6" ht="12" customHeight="1" x14ac:dyDescent="0.3">
      <c r="A111" s="81" t="s">
        <v>42</v>
      </c>
      <c r="B111" s="53"/>
      <c r="C111" s="53"/>
      <c r="D111" s="53"/>
      <c r="E111" s="82"/>
      <c r="F111" s="107"/>
    </row>
    <row r="112" spans="1:6" ht="12" customHeight="1" x14ac:dyDescent="0.3">
      <c r="A112" s="81" t="s">
        <v>43</v>
      </c>
      <c r="B112" s="53"/>
      <c r="C112" s="53"/>
      <c r="D112" s="53"/>
      <c r="E112" s="82"/>
      <c r="F112" s="107"/>
    </row>
    <row r="113" spans="1:6" ht="12" customHeight="1" x14ac:dyDescent="0.3">
      <c r="A113" s="81" t="s">
        <v>44</v>
      </c>
      <c r="B113" s="53"/>
      <c r="C113" s="53"/>
      <c r="D113" s="53"/>
      <c r="E113" s="82"/>
      <c r="F113" s="107"/>
    </row>
    <row r="114" spans="1:6" ht="12" customHeight="1" x14ac:dyDescent="0.3">
      <c r="A114" s="81" t="s">
        <v>45</v>
      </c>
      <c r="B114" s="53"/>
      <c r="C114" s="53"/>
      <c r="D114" s="53"/>
      <c r="E114" s="82"/>
      <c r="F114" s="107"/>
    </row>
    <row r="115" spans="1:6" ht="12.75" customHeight="1" thickBot="1" x14ac:dyDescent="0.35">
      <c r="A115" s="83" t="s">
        <v>46</v>
      </c>
      <c r="B115" s="84"/>
      <c r="C115" s="84"/>
      <c r="D115" s="84"/>
      <c r="E115" s="85"/>
      <c r="F115" s="107"/>
    </row>
    <row r="116" spans="1:6" ht="12.75" customHeight="1" x14ac:dyDescent="0.3">
      <c r="A116" s="76"/>
      <c r="B116" s="53"/>
      <c r="C116" s="53"/>
      <c r="D116" s="53"/>
      <c r="E116" s="53"/>
      <c r="F116" s="107"/>
    </row>
    <row r="117" spans="1:6" ht="15" customHeight="1" thickBot="1" x14ac:dyDescent="0.35">
      <c r="A117" s="207" t="s">
        <v>47</v>
      </c>
      <c r="B117" s="208"/>
      <c r="C117" s="75"/>
      <c r="D117" s="49"/>
      <c r="E117" s="49"/>
      <c r="F117" s="107"/>
    </row>
    <row r="118" spans="1:6" ht="12" customHeight="1" x14ac:dyDescent="0.3">
      <c r="A118" s="69" t="s">
        <v>32</v>
      </c>
      <c r="B118" s="129" t="s">
        <v>48</v>
      </c>
      <c r="C118" s="130" t="s">
        <v>49</v>
      </c>
      <c r="D118" s="49"/>
      <c r="E118" s="49"/>
      <c r="F118" s="107"/>
    </row>
    <row r="119" spans="1:6" ht="12" customHeight="1" x14ac:dyDescent="0.3">
      <c r="A119" s="70" t="s">
        <v>50</v>
      </c>
      <c r="B119" s="50">
        <f>F39</f>
        <v>12822750</v>
      </c>
      <c r="C119" s="71">
        <f>(B119/B125)</f>
        <v>0.37343755049258315</v>
      </c>
      <c r="D119" s="49"/>
      <c r="E119" s="49"/>
      <c r="F119" s="107"/>
    </row>
    <row r="120" spans="1:6" ht="12" customHeight="1" x14ac:dyDescent="0.3">
      <c r="A120" s="70" t="s">
        <v>51</v>
      </c>
      <c r="B120" s="50">
        <f>F44</f>
        <v>0</v>
      </c>
      <c r="C120" s="71">
        <v>0</v>
      </c>
      <c r="D120" s="49"/>
      <c r="E120" s="49"/>
      <c r="F120" s="107"/>
    </row>
    <row r="121" spans="1:6" ht="12" customHeight="1" x14ac:dyDescent="0.3">
      <c r="A121" s="70" t="s">
        <v>52</v>
      </c>
      <c r="B121" s="50">
        <f>F49</f>
        <v>283815</v>
      </c>
      <c r="C121" s="71">
        <f>(B121/B125)</f>
        <v>8.2655575748612816E-3</v>
      </c>
      <c r="D121" s="49"/>
      <c r="E121" s="49"/>
      <c r="F121" s="107"/>
    </row>
    <row r="122" spans="1:6" ht="12" customHeight="1" x14ac:dyDescent="0.3">
      <c r="A122" s="70" t="s">
        <v>27</v>
      </c>
      <c r="B122" s="50">
        <f>F95</f>
        <v>18995403.08284121</v>
      </c>
      <c r="C122" s="71">
        <f>(B122/B125)</f>
        <v>0.55320401613347248</v>
      </c>
      <c r="D122" s="49"/>
      <c r="E122" s="49"/>
      <c r="F122" s="107"/>
    </row>
    <row r="123" spans="1:6" ht="12" customHeight="1" x14ac:dyDescent="0.3">
      <c r="A123" s="70" t="s">
        <v>53</v>
      </c>
      <c r="B123" s="51">
        <f>F100</f>
        <v>600000</v>
      </c>
      <c r="C123" s="71">
        <f>(B123/B125)</f>
        <v>1.7473828180035476E-2</v>
      </c>
      <c r="D123" s="52"/>
      <c r="E123" s="52"/>
      <c r="F123" s="107"/>
    </row>
    <row r="124" spans="1:6" ht="12" customHeight="1" x14ac:dyDescent="0.3">
      <c r="A124" s="70" t="s">
        <v>54</v>
      </c>
      <c r="B124" s="51">
        <f>F103</f>
        <v>1635098.4041420605</v>
      </c>
      <c r="C124" s="71">
        <f>(B124/B125)</f>
        <v>4.7619047619047623E-2</v>
      </c>
      <c r="D124" s="52"/>
      <c r="E124" s="52"/>
      <c r="F124" s="107"/>
    </row>
    <row r="125" spans="1:6" ht="12.75" customHeight="1" thickBot="1" x14ac:dyDescent="0.35">
      <c r="A125" s="72" t="s">
        <v>55</v>
      </c>
      <c r="B125" s="73">
        <f>SUM(B119:B124)</f>
        <v>34337066.486983269</v>
      </c>
      <c r="C125" s="74">
        <f>SUM(C119:C124)</f>
        <v>1</v>
      </c>
      <c r="D125" s="52"/>
      <c r="E125" s="52"/>
      <c r="F125" s="107"/>
    </row>
    <row r="126" spans="1:6" ht="12" customHeight="1" x14ac:dyDescent="0.3">
      <c r="A126" s="67"/>
      <c r="B126" s="55"/>
      <c r="C126" s="55"/>
      <c r="D126" s="55"/>
      <c r="E126" s="55"/>
      <c r="F126" s="107"/>
    </row>
    <row r="127" spans="1:6" ht="12.75" customHeight="1" thickBot="1" x14ac:dyDescent="0.35">
      <c r="A127" s="68"/>
      <c r="B127" s="55"/>
      <c r="C127" s="55"/>
      <c r="D127" s="55"/>
      <c r="E127" s="55"/>
      <c r="F127" s="107"/>
    </row>
    <row r="128" spans="1:6" ht="12" customHeight="1" thickBot="1" x14ac:dyDescent="0.35">
      <c r="A128" s="204" t="s">
        <v>157</v>
      </c>
      <c r="B128" s="205"/>
      <c r="C128" s="205"/>
      <c r="D128" s="206"/>
      <c r="E128" s="52"/>
      <c r="F128" s="107"/>
    </row>
    <row r="129" spans="1:6" ht="12" customHeight="1" x14ac:dyDescent="0.3">
      <c r="A129" s="87" t="s">
        <v>149</v>
      </c>
      <c r="B129" s="121">
        <v>300000</v>
      </c>
      <c r="C129" s="121">
        <f>F9</f>
        <v>384000</v>
      </c>
      <c r="D129" s="121">
        <v>400000</v>
      </c>
      <c r="E129" s="86"/>
      <c r="F129" s="108"/>
    </row>
    <row r="130" spans="1:6" ht="12.75" customHeight="1" thickBot="1" x14ac:dyDescent="0.35">
      <c r="A130" s="72" t="s">
        <v>150</v>
      </c>
      <c r="B130" s="185">
        <f>F104/B129</f>
        <v>114.45688828994423</v>
      </c>
      <c r="C130" s="73">
        <f>(F104/C129)</f>
        <v>89.419443976518934</v>
      </c>
      <c r="D130" s="88">
        <f>(F104/D129)</f>
        <v>85.842666217458174</v>
      </c>
      <c r="E130" s="86"/>
      <c r="F130" s="108"/>
    </row>
    <row r="131" spans="1:6" ht="15.6" customHeight="1" x14ac:dyDescent="0.3">
      <c r="A131" s="77" t="s">
        <v>56</v>
      </c>
      <c r="B131" s="53"/>
      <c r="C131" s="53"/>
      <c r="D131" s="53"/>
      <c r="E131" s="53"/>
      <c r="F131" s="109"/>
    </row>
    <row r="169" spans="1:1" ht="11.25" customHeight="1" x14ac:dyDescent="0.3">
      <c r="A169" s="192"/>
    </row>
    <row r="170" spans="1:1" ht="11.25" customHeight="1" x14ac:dyDescent="0.3">
      <c r="A170" s="192"/>
    </row>
    <row r="171" spans="1:1" ht="11.25" customHeight="1" x14ac:dyDescent="0.3">
      <c r="A171" s="193"/>
    </row>
  </sheetData>
  <mergeCells count="9">
    <mergeCell ref="D9:E9"/>
    <mergeCell ref="D14:E14"/>
    <mergeCell ref="D15:E15"/>
    <mergeCell ref="A17:F17"/>
    <mergeCell ref="A128:D128"/>
    <mergeCell ref="A117:B117"/>
    <mergeCell ref="D13:E13"/>
    <mergeCell ref="D11:E11"/>
    <mergeCell ref="D10:E10"/>
  </mergeCells>
  <phoneticPr fontId="25" type="noConversion"/>
  <pageMargins left="0.25" right="0.25" top="0.14000000000000001" bottom="1.24" header="0.12" footer="1.22"/>
  <pageSetup paperSize="5" scale="99" fitToHeight="0" orientation="portrait" r:id="rId1"/>
  <headerFooter>
    <oddFooter>&amp;C&amp;"Helvetica Neue,Regular"&amp;12&amp;K000000&amp;P</oddFooter>
  </headerFooter>
  <rowBreaks count="2" manualBreakCount="2">
    <brk id="50" max="5" man="1"/>
    <brk id="94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c5dbce2d-49dc-4afe-a5b0-d7fb7a901161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030f0af-99cb-42f1-88fc-acec7333119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PEPINO ENSALADA</vt:lpstr>
      <vt:lpstr>'PEPINO ENSALADA'!Área_de_impresión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2022-06-16T21:35:46Z</cp:lastPrinted>
  <dcterms:created xsi:type="dcterms:W3CDTF">2020-11-27T12:49:26Z</dcterms:created>
  <dcterms:modified xsi:type="dcterms:W3CDTF">2022-06-24T14:24:22Z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