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imache/"/>
    </mc:Choice>
  </mc:AlternateContent>
  <xr:revisionPtr revIDLastSave="2" documentId="11_5A3651A53053C3F5C46D7AEE73144E5D74BA0945" xr6:coauthVersionLast="47" xr6:coauthVersionMax="47" xr10:uidLastSave="{6977948E-2578-4F1E-AE1C-216C5F46345B}"/>
  <bookViews>
    <workbookView xWindow="-120" yWindow="-120" windowWidth="20730" windowHeight="11040" xr2:uid="{00000000-000D-0000-FFFF-FFFF00000000}"/>
  </bookViews>
  <sheets>
    <sheet name="PIMIENTO INVERNADERO " sheetId="1" r:id="rId1"/>
    <sheet name="Al 22.06.22" sheetId="2" r:id="rId2"/>
  </sheets>
  <definedNames>
    <definedName name="_xlnm.Print_Area" localSheetId="0">'PIMIENTO INVERNADERO '!$A$1:$G$142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6" i="2" l="1"/>
  <c r="G66" i="2" s="1"/>
  <c r="F67" i="2"/>
  <c r="G67" i="2" s="1"/>
  <c r="F69" i="2"/>
  <c r="F72" i="2"/>
  <c r="G72" i="2" s="1"/>
  <c r="F73" i="2"/>
  <c r="F74" i="2"/>
  <c r="F75" i="2"/>
  <c r="F76" i="2"/>
  <c r="F77" i="2"/>
  <c r="F85" i="2"/>
  <c r="F86" i="2"/>
  <c r="F87" i="2"/>
  <c r="F94" i="2"/>
  <c r="F95" i="2"/>
  <c r="F96" i="2"/>
  <c r="F102" i="2"/>
  <c r="F103" i="2"/>
  <c r="F105" i="2"/>
  <c r="F60" i="2"/>
  <c r="C131" i="2"/>
  <c r="G110" i="2"/>
  <c r="G111" i="2" s="1"/>
  <c r="C134" i="2" s="1"/>
  <c r="D104" i="2"/>
  <c r="D91" i="2"/>
  <c r="G77" i="2"/>
  <c r="G74" i="2"/>
  <c r="D60" i="2"/>
  <c r="G53" i="2"/>
  <c r="G52" i="2"/>
  <c r="G41" i="2"/>
  <c r="G39" i="2"/>
  <c r="G36" i="2"/>
  <c r="G35" i="2"/>
  <c r="G34" i="2"/>
  <c r="D34" i="2"/>
  <c r="D33" i="2"/>
  <c r="G33" i="2" s="1"/>
  <c r="D32" i="2"/>
  <c r="G32" i="2" s="1"/>
  <c r="D31" i="2"/>
  <c r="G31" i="2" s="1"/>
  <c r="G30" i="2"/>
  <c r="G29" i="2"/>
  <c r="D28" i="2"/>
  <c r="G28" i="2" s="1"/>
  <c r="D27" i="2"/>
  <c r="G27" i="2" s="1"/>
  <c r="D26" i="2"/>
  <c r="G26" i="2" s="1"/>
  <c r="G23" i="2"/>
  <c r="G12" i="2"/>
  <c r="G116" i="2" s="1"/>
  <c r="G60" i="2" l="1"/>
  <c r="G55" i="2"/>
  <c r="C132" i="2" s="1"/>
  <c r="G43" i="2"/>
  <c r="G72" i="1"/>
  <c r="G67" i="1"/>
  <c r="G66" i="1"/>
  <c r="G64" i="1"/>
  <c r="G63" i="1"/>
  <c r="G60" i="1"/>
  <c r="G23" i="1"/>
  <c r="F101" i="1"/>
  <c r="F93" i="1"/>
  <c r="F92" i="1"/>
  <c r="F91" i="1"/>
  <c r="F91" i="2" s="1"/>
  <c r="G91" i="2" s="1"/>
  <c r="F89" i="1"/>
  <c r="F90" i="1"/>
  <c r="D91" i="1"/>
  <c r="G41" i="1"/>
  <c r="G39" i="1"/>
  <c r="G36" i="1"/>
  <c r="G35" i="1"/>
  <c r="D34" i="1"/>
  <c r="G34" i="1" s="1"/>
  <c r="D33" i="1"/>
  <c r="G33" i="1" s="1"/>
  <c r="D32" i="1"/>
  <c r="G32" i="1" s="1"/>
  <c r="D31" i="1"/>
  <c r="G31" i="1" s="1"/>
  <c r="G30" i="1"/>
  <c r="G29" i="1"/>
  <c r="D28" i="1"/>
  <c r="G28" i="1" s="1"/>
  <c r="D27" i="1"/>
  <c r="G27" i="1" s="1"/>
  <c r="D26" i="1"/>
  <c r="G26" i="1" s="1"/>
  <c r="G110" i="1"/>
  <c r="G111" i="1" s="1"/>
  <c r="G74" i="1"/>
  <c r="F104" i="1"/>
  <c r="F104" i="2" s="1"/>
  <c r="G104" i="2" s="1"/>
  <c r="D104" i="1"/>
  <c r="F100" i="1"/>
  <c r="F99" i="1"/>
  <c r="F98" i="1"/>
  <c r="F97" i="1"/>
  <c r="F88" i="1"/>
  <c r="F84" i="1"/>
  <c r="F83" i="1"/>
  <c r="F82" i="1"/>
  <c r="F81" i="1"/>
  <c r="F80" i="1"/>
  <c r="F79" i="1"/>
  <c r="F78" i="1"/>
  <c r="G77" i="1"/>
  <c r="F71" i="1"/>
  <c r="F70" i="1"/>
  <c r="F70" i="2" s="1"/>
  <c r="G70" i="2" s="1"/>
  <c r="F68" i="1"/>
  <c r="F65" i="1"/>
  <c r="F65" i="2" s="1"/>
  <c r="G65" i="2" s="1"/>
  <c r="F64" i="1"/>
  <c r="F64" i="2" s="1"/>
  <c r="G64" i="2" s="1"/>
  <c r="F63" i="1"/>
  <c r="F63" i="2" s="1"/>
  <c r="G63" i="2" s="1"/>
  <c r="F62" i="1"/>
  <c r="F62" i="2" s="1"/>
  <c r="G62" i="2" s="1"/>
  <c r="F61" i="1"/>
  <c r="F61" i="2" s="1"/>
  <c r="G61" i="2" s="1"/>
  <c r="D60" i="1"/>
  <c r="G12" i="1"/>
  <c r="G116" i="1" s="1"/>
  <c r="G78" i="1" l="1"/>
  <c r="F78" i="2"/>
  <c r="G78" i="2" s="1"/>
  <c r="G79" i="1"/>
  <c r="F79" i="2"/>
  <c r="G79" i="2" s="1"/>
  <c r="G68" i="1"/>
  <c r="F68" i="2"/>
  <c r="G68" i="2" s="1"/>
  <c r="G106" i="2" s="1"/>
  <c r="G82" i="1"/>
  <c r="F82" i="2"/>
  <c r="G82" i="2" s="1"/>
  <c r="G97" i="1"/>
  <c r="F97" i="2"/>
  <c r="G97" i="2" s="1"/>
  <c r="G70" i="1"/>
  <c r="G71" i="1"/>
  <c r="F71" i="2"/>
  <c r="G71" i="2" s="1"/>
  <c r="G80" i="1"/>
  <c r="F80" i="2"/>
  <c r="G80" i="2" s="1"/>
  <c r="G84" i="1"/>
  <c r="F84" i="2"/>
  <c r="G84" i="2" s="1"/>
  <c r="G99" i="1"/>
  <c r="F99" i="2"/>
  <c r="G99" i="2" s="1"/>
  <c r="G90" i="1"/>
  <c r="F90" i="2"/>
  <c r="G90" i="2" s="1"/>
  <c r="G93" i="1"/>
  <c r="F93" i="2"/>
  <c r="G93" i="2" s="1"/>
  <c r="G61" i="1"/>
  <c r="G65" i="1"/>
  <c r="G83" i="1"/>
  <c r="F83" i="2"/>
  <c r="G83" i="2" s="1"/>
  <c r="G98" i="1"/>
  <c r="F98" i="2"/>
  <c r="G98" i="2" s="1"/>
  <c r="G92" i="1"/>
  <c r="F92" i="2"/>
  <c r="G92" i="2" s="1"/>
  <c r="G81" i="1"/>
  <c r="F81" i="2"/>
  <c r="G81" i="2" s="1"/>
  <c r="G88" i="1"/>
  <c r="F88" i="2"/>
  <c r="G88" i="2" s="1"/>
  <c r="G100" i="1"/>
  <c r="F100" i="2"/>
  <c r="G100" i="2" s="1"/>
  <c r="G89" i="1"/>
  <c r="F89" i="2"/>
  <c r="G89" i="2" s="1"/>
  <c r="G101" i="1"/>
  <c r="F101" i="2"/>
  <c r="G101" i="2" s="1"/>
  <c r="G62" i="1"/>
  <c r="C130" i="2"/>
  <c r="G91" i="1"/>
  <c r="G52" i="1"/>
  <c r="G53" i="1"/>
  <c r="G104" i="1"/>
  <c r="C133" i="2" l="1"/>
  <c r="G113" i="2"/>
  <c r="G114" i="2" s="1"/>
  <c r="G115" i="2" s="1"/>
  <c r="C135" i="2"/>
  <c r="G106" i="1"/>
  <c r="E141" i="2" l="1"/>
  <c r="D141" i="2"/>
  <c r="C141" i="2"/>
  <c r="G117" i="2"/>
  <c r="C136" i="2"/>
  <c r="G55" i="1"/>
  <c r="D134" i="2" l="1"/>
  <c r="D132" i="2"/>
  <c r="D133" i="2"/>
  <c r="D130" i="2"/>
  <c r="D135" i="2"/>
  <c r="G43" i="1"/>
  <c r="G113" i="1" s="1"/>
  <c r="G114" i="1" s="1"/>
  <c r="G115" i="1" s="1"/>
  <c r="C132" i="1"/>
  <c r="C133" i="1"/>
  <c r="C134" i="1"/>
  <c r="D136" i="2" l="1"/>
  <c r="C141" i="1"/>
  <c r="D141" i="1"/>
  <c r="E141" i="1"/>
  <c r="C130" i="1"/>
  <c r="C131" i="1"/>
  <c r="C135" i="1" l="1"/>
  <c r="C136" i="1" l="1"/>
  <c r="D130" i="1" s="1"/>
  <c r="G117" i="1" l="1"/>
  <c r="D135" i="1"/>
  <c r="D133" i="1"/>
  <c r="D134" i="1"/>
  <c r="D132" i="1"/>
  <c r="D136" i="1" l="1"/>
</calcChain>
</file>

<file path=xl/sharedStrings.xml><?xml version="1.0" encoding="utf-8"?>
<sst xmlns="http://schemas.openxmlformats.org/spreadsheetml/2006/main" count="518" uniqueCount="169">
  <si>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</si>
  <si>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</si>
  <si>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</si>
  <si>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</si>
  <si>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</si>
  <si>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</si>
  <si>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</si>
  <si>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</si>
  <si>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</si>
  <si>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</si>
  <si>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</si>
  <si>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</si>
  <si>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</si>
  <si>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</si>
  <si>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</si>
  <si>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</si>
  <si>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</si>
  <si>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</si>
  <si>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</si>
  <si>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</si>
  <si>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</si>
  <si>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</si>
  <si>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</si>
  <si>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</si>
  <si>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</si>
  <si>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</si>
  <si>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</si>
  <si>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</si>
  <si>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</si>
  <si>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</si>
  <si>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</si>
  <si>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</si>
  <si>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</si>
  <si>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</si>
  <si>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</si>
  <si>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</si>
  <si>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</si>
  <si>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</si>
  <si>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</si>
  <si>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</si>
  <si>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</si>
  <si>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</si>
  <si>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</si>
  <si>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</si>
  <si>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</si>
  <si>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</si>
  <si>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</si>
  <si>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</si>
  <si>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</si>
  <si>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</si>
  <si>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</si>
  <si>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</si>
  <si>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</si>
  <si>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</si>
  <si>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</si>
  <si>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</si>
  <si>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</si>
  <si>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</si>
  <si>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</si>
  <si>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</si>
  <si>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PRECIO ESPERADO ($/Unidades)</t>
  </si>
  <si>
    <t>Rendimiento  (Unidades/hà)</t>
  </si>
  <si>
    <t>Costo unitario ($/ Unidades) (*)</t>
  </si>
  <si>
    <t>ESCENARIOS COSTO UNITARIO  ($/unidades)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</si>
  <si>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</si>
  <si>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</si>
  <si>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</si>
  <si>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</si>
  <si>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</si>
  <si>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</si>
  <si>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</si>
  <si>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</si>
  <si>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</si>
  <si>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</si>
  <si>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 xml:space="preserve">Aplicación Fitosanitarios </t>
  </si>
  <si>
    <t>Fertirriego</t>
  </si>
  <si>
    <t>Jul-Dic</t>
  </si>
  <si>
    <t>Ventilación</t>
  </si>
  <si>
    <t>Limpieza pasillos</t>
  </si>
  <si>
    <t>Arranca de plantas y raspado de pasillos</t>
  </si>
  <si>
    <t>Eliminación de rastrojo</t>
  </si>
  <si>
    <t>N/A</t>
  </si>
  <si>
    <t>Fumigacion de suelo + colocacion mulch (tractor)*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</si>
  <si>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</si>
  <si>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</si>
  <si>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</si>
  <si>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</si>
  <si>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</si>
  <si>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</si>
  <si>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</si>
  <si>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</si>
  <si>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</si>
  <si>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</si>
  <si>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</si>
  <si>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</si>
  <si>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</si>
  <si>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</si>
  <si>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INSECTICIDAS</t>
  </si>
  <si>
    <t>Agosto</t>
  </si>
  <si>
    <t xml:space="preserve">PIMIENTO  INVERNADERO </t>
  </si>
  <si>
    <t>MEDIO</t>
  </si>
  <si>
    <t>KG</t>
  </si>
  <si>
    <t>L</t>
  </si>
  <si>
    <t>Conducción, poda, entutorado</t>
  </si>
  <si>
    <t xml:space="preserve">Cosecha </t>
  </si>
  <si>
    <t>RENDIMIENTO (UN/ha)</t>
  </si>
  <si>
    <t>LIMACHE/ QUILLOTA</t>
  </si>
  <si>
    <t>Hurricane</t>
  </si>
  <si>
    <t>Evisect</t>
  </si>
  <si>
    <t>Engeo</t>
  </si>
  <si>
    <t>Vertimec</t>
  </si>
  <si>
    <t>Magister</t>
  </si>
  <si>
    <t>Sanmite</t>
  </si>
  <si>
    <t>Previcur Energy</t>
  </si>
  <si>
    <t>Ridomil Gold</t>
  </si>
  <si>
    <t>Bellis</t>
  </si>
  <si>
    <t>Azufre Mojable</t>
  </si>
  <si>
    <t xml:space="preserve">Tiras pegajosas adhesivas amarillas </t>
  </si>
  <si>
    <t>CORAZA</t>
  </si>
  <si>
    <t>MERCADO MAYORISTA</t>
  </si>
  <si>
    <t>PREPARACIÓN DE INVERNADEROS</t>
  </si>
  <si>
    <t>MANO DE OBRA LABORES DEL CULTIVO</t>
  </si>
  <si>
    <t xml:space="preserve">MANO DE OBRA COSECHA </t>
  </si>
  <si>
    <t>oct-dic</t>
  </si>
  <si>
    <t>MANO DE OBRA SELECCIÓN/EMABALAJE</t>
  </si>
  <si>
    <t xml:space="preserve">Selección embalaje </t>
  </si>
  <si>
    <t>CUBIIERTA PLASTICA</t>
  </si>
  <si>
    <t>unidad</t>
  </si>
  <si>
    <t>unidades</t>
  </si>
  <si>
    <t>RIEGO</t>
  </si>
  <si>
    <t>global</t>
  </si>
  <si>
    <t>Diciembre</t>
  </si>
  <si>
    <t xml:space="preserve">PLANTAS INJERTADAS </t>
  </si>
  <si>
    <t>PESTICIDAS</t>
  </si>
  <si>
    <t xml:space="preserve">FUNGICIDAS </t>
  </si>
  <si>
    <t>Ago-Oct</t>
  </si>
  <si>
    <t>Luna Experience</t>
  </si>
  <si>
    <t>Nov-Dic</t>
  </si>
  <si>
    <t>Ago-Sept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</si>
  <si>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</si>
  <si>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</si>
  <si>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Energia electrica</t>
  </si>
  <si>
    <t>Global</t>
  </si>
  <si>
    <t>$u/hà</t>
  </si>
  <si>
    <t>dic 22 - marzo 23</t>
  </si>
  <si>
    <t>Sept 22-feb 23</t>
  </si>
  <si>
    <t>Jun 22 - feb 23</t>
  </si>
  <si>
    <t>dic 22- marzo 23</t>
  </si>
  <si>
    <t>OCT 22 - MARZO 23</t>
  </si>
  <si>
    <t>Amortizacion ( 2 cultivos) Instalación de cubierta plástica y malla antiafido</t>
  </si>
  <si>
    <t xml:space="preserve">Preparación de suelo (Rastra + Tiller + mesero) </t>
  </si>
  <si>
    <t xml:space="preserve">Plantines pimiento coraza </t>
  </si>
  <si>
    <t>oct-marzo</t>
  </si>
  <si>
    <t>HELADAS, SEQUIA, VIROSIS</t>
  </si>
  <si>
    <t>Septiembre</t>
  </si>
  <si>
    <t>Abril A Marzo</t>
  </si>
  <si>
    <t>Amortización (2 cultivos)Polietileno 2 T 4 m  x 150 micrones</t>
  </si>
  <si>
    <t xml:space="preserve">Doble Techo 1 temporada 4 mt x 40 micrones (amortizado en 1 cultivos) </t>
  </si>
  <si>
    <t>Canaleta 2 temporadas 200 micrones (amortizado en 2 cultivos)</t>
  </si>
  <si>
    <t xml:space="preserve">Lucarnas 0,10 mc (amortizado en 1 cultivo) </t>
  </si>
  <si>
    <t>Ventanas 2 temporadas 0,15 mic (amortizado en 2 cultivos)</t>
  </si>
  <si>
    <t>Cortinas 2 temporadas 150 micrones  (amortizado en 2 cultivos)</t>
  </si>
  <si>
    <t>Rollo Malla antiafidos 20/10 2 mtX100 mt (amortizado en 4 cultivos)</t>
  </si>
  <si>
    <t>Rollo Malla raschell negra 50%. 2,10x100 mt (amortizado en 4 cultivos)</t>
  </si>
  <si>
    <t>Mulch negro-blanco 1 temporadas 1,2 m x 20 micrones x 1000 metros</t>
  </si>
  <si>
    <t xml:space="preserve">Cinta de riego 20 cm (amortizada en 1 cultivos) </t>
  </si>
  <si>
    <t>Profundizacion pozos  (amortizado en 4 cultivos)</t>
  </si>
  <si>
    <t>Jun-abr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</si>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</sst>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.00&quot; &quot;;&quot;-&quot;* #,##0.00&quot; &quot;;&quot; &quot;* &quot;-&quot;??&quot; &quot;"/>
    <numFmt numFmtId="167" formatCode="_-* #,##0.00_-;\-* #,##0.00_-;_-* &quot;-&quot;??_-;_-@_-"/>
  </numFmts>
  <fonts count="34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8"/>
      <color theme="1"/>
      <name val="Arial Narrow"/>
      <family val="2"/>
    </font>
    <font>
      <sz val="9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8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 applyNumberFormat="0" applyFill="0" applyBorder="0" applyProtection="0"/>
    <xf numFmtId="0" fontId="19" fillId="0" borderId="18"/>
    <xf numFmtId="0" fontId="22" fillId="0" borderId="18" applyNumberFormat="0" applyFill="0" applyBorder="0" applyProtection="0"/>
    <xf numFmtId="41" fontId="22" fillId="0" borderId="18" applyFont="0" applyFill="0" applyBorder="0" applyAlignment="0" applyProtection="0"/>
    <xf numFmtId="9" fontId="22" fillId="0" borderId="18" applyFont="0" applyFill="0" applyBorder="0" applyAlignment="0" applyProtection="0"/>
    <xf numFmtId="0" fontId="1" fillId="0" borderId="18"/>
    <xf numFmtId="167" fontId="1" fillId="0" borderId="18" applyFont="0" applyFill="0" applyBorder="0" applyAlignment="0" applyProtection="0"/>
    <xf numFmtId="0" fontId="26" fillId="0" borderId="18" applyNumberFormat="0" applyFill="0" applyBorder="0" applyProtection="0"/>
    <xf numFmtId="9" fontId="21" fillId="0" borderId="18" applyFont="0" applyFill="0" applyBorder="0" applyAlignment="0" applyProtection="0"/>
  </cellStyleXfs>
  <cellXfs count="2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4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/>
    <xf numFmtId="49" fontId="5" fillId="2" borderId="4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/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0" fontId="3" fillId="2" borderId="7" xfId="0" applyFont="1" applyFill="1" applyBorder="1" applyAlignment="1">
      <alignment wrapText="1"/>
    </xf>
    <xf numFmtId="14" fontId="3" fillId="2" borderId="8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5" fillId="6" borderId="18" xfId="0" applyFont="1" applyFill="1" applyBorder="1" applyAlignment="1"/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5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49" fontId="2" fillId="5" borderId="2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4" fontId="2" fillId="5" borderId="23" xfId="0" applyNumberFormat="1" applyFont="1" applyFill="1" applyBorder="1" applyAlignment="1">
      <alignment vertical="center"/>
    </xf>
    <xf numFmtId="49" fontId="2" fillId="3" borderId="24" xfId="0" applyNumberFormat="1" applyFont="1" applyFill="1" applyBorder="1" applyAlignment="1">
      <alignment vertical="center"/>
    </xf>
    <xf numFmtId="164" fontId="2" fillId="3" borderId="25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164" fontId="2" fillId="5" borderId="25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7" borderId="28" xfId="0" applyNumberFormat="1" applyFont="1" applyFill="1" applyBorder="1" applyAlignment="1">
      <alignment vertical="center"/>
    </xf>
    <xf numFmtId="49" fontId="13" fillId="2" borderId="30" xfId="0" applyNumberFormat="1" applyFont="1" applyFill="1" applyBorder="1" applyAlignment="1">
      <alignment vertical="center"/>
    </xf>
    <xf numFmtId="9" fontId="15" fillId="2" borderId="31" xfId="0" applyNumberFormat="1" applyFont="1" applyFill="1" applyBorder="1" applyAlignment="1"/>
    <xf numFmtId="49" fontId="13" fillId="7" borderId="32" xfId="0" applyNumberFormat="1" applyFont="1" applyFill="1" applyBorder="1" applyAlignment="1">
      <alignment vertical="center"/>
    </xf>
    <xf numFmtId="165" fontId="13" fillId="7" borderId="33" xfId="0" applyNumberFormat="1" applyFont="1" applyFill="1" applyBorder="1" applyAlignment="1">
      <alignment vertical="center"/>
    </xf>
    <xf numFmtId="9" fontId="13" fillId="7" borderId="34" xfId="0" applyNumberFormat="1" applyFont="1" applyFill="1" applyBorder="1" applyAlignment="1">
      <alignment vertical="center"/>
    </xf>
    <xf numFmtId="0" fontId="15" fillId="8" borderId="37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8" xfId="0" applyNumberFormat="1" applyFont="1" applyFill="1" applyBorder="1" applyAlignment="1">
      <alignment vertical="center"/>
    </xf>
    <xf numFmtId="0" fontId="15" fillId="2" borderId="39" xfId="0" applyFont="1" applyFill="1" applyBorder="1" applyAlignment="1"/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0" fontId="15" fillId="2" borderId="45" xfId="0" applyFont="1" applyFill="1" applyBorder="1" applyAlignment="1"/>
    <xf numFmtId="0" fontId="13" fillId="6" borderId="18" xfId="0" applyFont="1" applyFill="1" applyBorder="1" applyAlignment="1">
      <alignment vertical="center"/>
    </xf>
    <xf numFmtId="49" fontId="13" fillId="7" borderId="46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center" wrapText="1"/>
    </xf>
    <xf numFmtId="49" fontId="5" fillId="2" borderId="48" xfId="0" applyNumberFormat="1" applyFont="1" applyFill="1" applyBorder="1" applyAlignment="1">
      <alignment horizontal="center"/>
    </xf>
    <xf numFmtId="49" fontId="2" fillId="3" borderId="49" xfId="0" applyNumberFormat="1" applyFont="1" applyFill="1" applyBorder="1" applyAlignment="1">
      <alignment horizontal="center" vertical="center" wrapText="1"/>
    </xf>
    <xf numFmtId="0" fontId="5" fillId="2" borderId="48" xfId="0" applyNumberFormat="1" applyFont="1" applyFill="1" applyBorder="1" applyAlignment="1">
      <alignment horizontal="center"/>
    </xf>
    <xf numFmtId="3" fontId="5" fillId="2" borderId="48" xfId="0" applyNumberFormat="1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 vertical="center" wrapText="1"/>
    </xf>
    <xf numFmtId="49" fontId="5" fillId="2" borderId="48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9" xfId="0" applyNumberFormat="1" applyFont="1" applyFill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right" vertical="center"/>
    </xf>
    <xf numFmtId="164" fontId="17" fillId="2" borderId="18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9" fillId="3" borderId="17" xfId="0" applyFont="1" applyFill="1" applyBorder="1" applyAlignment="1">
      <alignment horizontal="right" vertical="center"/>
    </xf>
    <xf numFmtId="49" fontId="2" fillId="3" borderId="49" xfId="0" applyNumberFormat="1" applyFont="1" applyFill="1" applyBorder="1" applyAlignment="1">
      <alignment horizontal="center" vertical="center"/>
    </xf>
    <xf numFmtId="0" fontId="3" fillId="2" borderId="50" xfId="0" applyFont="1" applyFill="1" applyBorder="1" applyAlignment="1"/>
    <xf numFmtId="0" fontId="3" fillId="2" borderId="51" xfId="0" applyFont="1" applyFill="1" applyBorder="1" applyAlignment="1"/>
    <xf numFmtId="0" fontId="3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 applyAlignment="1"/>
    <xf numFmtId="3" fontId="3" fillId="2" borderId="51" xfId="0" applyNumberFormat="1" applyFont="1" applyFill="1" applyBorder="1" applyAlignment="1">
      <alignment horizontal="right"/>
    </xf>
    <xf numFmtId="49" fontId="9" fillId="3" borderId="48" xfId="0" applyNumberFormat="1" applyFont="1" applyFill="1" applyBorder="1" applyAlignment="1">
      <alignment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vertical="center"/>
    </xf>
    <xf numFmtId="3" fontId="0" fillId="0" borderId="0" xfId="0" applyNumberFormat="1" applyFont="1" applyAlignment="1"/>
    <xf numFmtId="3" fontId="13" fillId="7" borderId="47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9" fillId="3" borderId="48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49" fontId="13" fillId="7" borderId="19" xfId="0" applyNumberFormat="1" applyFont="1" applyFill="1" applyBorder="1" applyAlignment="1">
      <alignment horizontal="center" vertical="center"/>
    </xf>
    <xf numFmtId="49" fontId="15" fillId="7" borderId="29" xfId="0" applyNumberFormat="1" applyFont="1" applyFill="1" applyBorder="1" applyAlignment="1">
      <alignment horizontal="center"/>
    </xf>
    <xf numFmtId="49" fontId="20" fillId="2" borderId="48" xfId="0" applyNumberFormat="1" applyFont="1" applyFill="1" applyBorder="1" applyAlignment="1">
      <alignment horizontal="left" vertical="center" wrapText="1"/>
    </xf>
    <xf numFmtId="49" fontId="20" fillId="2" borderId="48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right" vertical="center"/>
    </xf>
    <xf numFmtId="49" fontId="20" fillId="2" borderId="5" xfId="0" applyNumberFormat="1" applyFont="1" applyFill="1" applyBorder="1" applyAlignment="1">
      <alignment wrapText="1"/>
    </xf>
    <xf numFmtId="0" fontId="28" fillId="9" borderId="48" xfId="5" applyFont="1" applyFill="1" applyBorder="1" applyAlignment="1">
      <alignment horizontal="center" vertical="center"/>
    </xf>
    <xf numFmtId="0" fontId="27" fillId="9" borderId="48" xfId="5" applyFont="1" applyFill="1" applyBorder="1" applyAlignment="1">
      <alignment horizontal="center" vertical="center"/>
    </xf>
    <xf numFmtId="0" fontId="27" fillId="9" borderId="48" xfId="5" applyFont="1" applyFill="1" applyBorder="1" applyAlignment="1">
      <alignment horizontal="left" vertical="center"/>
    </xf>
    <xf numFmtId="3" fontId="27" fillId="9" borderId="48" xfId="5" applyNumberFormat="1" applyFont="1" applyFill="1" applyBorder="1" applyAlignment="1">
      <alignment horizontal="center" vertical="center" wrapText="1"/>
    </xf>
    <xf numFmtId="49" fontId="5" fillId="2" borderId="55" xfId="7" applyNumberFormat="1" applyFont="1" applyFill="1" applyBorder="1" applyAlignment="1">
      <alignment horizontal="right" vertical="center" wrapText="1"/>
    </xf>
    <xf numFmtId="0" fontId="24" fillId="9" borderId="55" xfId="7" applyFont="1" applyFill="1" applyBorder="1" applyAlignment="1">
      <alignment horizontal="center" vertical="center" wrapText="1"/>
    </xf>
    <xf numFmtId="0" fontId="24" fillId="9" borderId="55" xfId="7" applyFont="1" applyFill="1" applyBorder="1" applyAlignment="1">
      <alignment horizontal="center" vertical="center"/>
    </xf>
    <xf numFmtId="3" fontId="24" fillId="9" borderId="55" xfId="7" applyNumberFormat="1" applyFont="1" applyFill="1" applyBorder="1" applyAlignment="1">
      <alignment horizontal="center" vertical="center"/>
    </xf>
    <xf numFmtId="0" fontId="24" fillId="0" borderId="55" xfId="7" applyFont="1" applyBorder="1" applyAlignment="1">
      <alignment horizontal="center" vertical="center"/>
    </xf>
    <xf numFmtId="3" fontId="24" fillId="0" borderId="55" xfId="7" applyNumberFormat="1" applyFont="1" applyBorder="1" applyAlignment="1">
      <alignment horizontal="center" vertical="center"/>
    </xf>
    <xf numFmtId="2" fontId="24" fillId="9" borderId="55" xfId="7" applyNumberFormat="1" applyFont="1" applyFill="1" applyBorder="1" applyAlignment="1">
      <alignment horizontal="center" vertical="center"/>
    </xf>
    <xf numFmtId="0" fontId="24" fillId="9" borderId="55" xfId="7" applyFont="1" applyFill="1" applyBorder="1" applyAlignment="1">
      <alignment horizontal="left" vertical="center" wrapText="1"/>
    </xf>
    <xf numFmtId="0" fontId="24" fillId="9" borderId="55" xfId="7" applyFont="1" applyFill="1" applyBorder="1" applyAlignment="1">
      <alignment horizontal="left" vertical="center"/>
    </xf>
    <xf numFmtId="0" fontId="5" fillId="9" borderId="48" xfId="0" applyNumberFormat="1" applyFont="1" applyFill="1" applyBorder="1" applyAlignment="1">
      <alignment horizontal="center"/>
    </xf>
    <xf numFmtId="3" fontId="5" fillId="9" borderId="48" xfId="0" applyNumberFormat="1" applyFont="1" applyFill="1" applyBorder="1" applyAlignment="1">
      <alignment horizontal="center"/>
    </xf>
    <xf numFmtId="49" fontId="5" fillId="9" borderId="48" xfId="0" applyNumberFormat="1" applyFont="1" applyFill="1" applyBorder="1" applyAlignment="1">
      <alignment horizontal="center"/>
    </xf>
    <xf numFmtId="0" fontId="21" fillId="0" borderId="0" xfId="0" applyNumberFormat="1" applyFont="1" applyAlignment="1"/>
    <xf numFmtId="49" fontId="5" fillId="10" borderId="5" xfId="0" applyNumberFormat="1" applyFont="1" applyFill="1" applyBorder="1" applyAlignment="1">
      <alignment wrapText="1"/>
    </xf>
    <xf numFmtId="49" fontId="5" fillId="10" borderId="5" xfId="0" applyNumberFormat="1" applyFont="1" applyFill="1" applyBorder="1" applyAlignment="1">
      <alignment horizontal="center" wrapText="1"/>
    </xf>
    <xf numFmtId="0" fontId="5" fillId="10" borderId="5" xfId="0" applyNumberFormat="1" applyFont="1" applyFill="1" applyBorder="1" applyAlignment="1">
      <alignment horizontal="center" wrapText="1"/>
    </xf>
    <xf numFmtId="3" fontId="5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horizontal="center" vertical="center" wrapText="1"/>
    </xf>
    <xf numFmtId="0" fontId="24" fillId="10" borderId="5" xfId="0" applyNumberFormat="1" applyFont="1" applyFill="1" applyBorder="1" applyAlignment="1">
      <alignment horizontal="center" vertical="center" wrapText="1"/>
    </xf>
    <xf numFmtId="3" fontId="24" fillId="10" borderId="5" xfId="0" applyNumberFormat="1" applyFont="1" applyFill="1" applyBorder="1" applyAlignment="1">
      <alignment horizontal="center" vertical="center" wrapText="1"/>
    </xf>
    <xf numFmtId="49" fontId="23" fillId="10" borderId="5" xfId="0" applyNumberFormat="1" applyFont="1" applyFill="1" applyBorder="1" applyAlignment="1">
      <alignment wrapText="1"/>
    </xf>
    <xf numFmtId="49" fontId="24" fillId="10" borderId="5" xfId="0" applyNumberFormat="1" applyFont="1" applyFill="1" applyBorder="1" applyAlignment="1">
      <alignment horizontal="center" wrapText="1"/>
    </xf>
    <xf numFmtId="0" fontId="24" fillId="10" borderId="5" xfId="0" applyNumberFormat="1" applyFont="1" applyFill="1" applyBorder="1" applyAlignment="1">
      <alignment horizontal="center" wrapText="1"/>
    </xf>
    <xf numFmtId="3" fontId="24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wrapText="1"/>
    </xf>
    <xf numFmtId="49" fontId="5" fillId="10" borderId="48" xfId="0" applyNumberFormat="1" applyFont="1" applyFill="1" applyBorder="1" applyAlignment="1">
      <alignment horizontal="left"/>
    </xf>
    <xf numFmtId="49" fontId="5" fillId="10" borderId="48" xfId="0" applyNumberFormat="1" applyFont="1" applyFill="1" applyBorder="1" applyAlignment="1">
      <alignment horizontal="center"/>
    </xf>
    <xf numFmtId="0" fontId="5" fillId="10" borderId="48" xfId="0" applyNumberFormat="1" applyFont="1" applyFill="1" applyBorder="1" applyAlignment="1">
      <alignment horizontal="center"/>
    </xf>
    <xf numFmtId="3" fontId="5" fillId="10" borderId="48" xfId="0" applyNumberFormat="1" applyFont="1" applyFill="1" applyBorder="1" applyAlignment="1">
      <alignment horizontal="center"/>
    </xf>
    <xf numFmtId="49" fontId="5" fillId="10" borderId="48" xfId="0" applyNumberFormat="1" applyFont="1" applyFill="1" applyBorder="1" applyAlignment="1">
      <alignment horizontal="left" vertical="center" wrapText="1"/>
    </xf>
    <xf numFmtId="1" fontId="5" fillId="10" borderId="48" xfId="0" applyNumberFormat="1" applyFont="1" applyFill="1" applyBorder="1" applyAlignment="1">
      <alignment horizontal="center"/>
    </xf>
    <xf numFmtId="49" fontId="5" fillId="10" borderId="48" xfId="0" applyNumberFormat="1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center" vertical="center"/>
    </xf>
    <xf numFmtId="0" fontId="5" fillId="10" borderId="48" xfId="0" applyNumberFormat="1" applyFont="1" applyFill="1" applyBorder="1" applyAlignment="1">
      <alignment horizontal="center" vertical="center"/>
    </xf>
    <xf numFmtId="3" fontId="5" fillId="10" borderId="48" xfId="0" applyNumberFormat="1" applyFont="1" applyFill="1" applyBorder="1" applyAlignment="1">
      <alignment horizontal="center" vertical="center"/>
    </xf>
    <xf numFmtId="0" fontId="24" fillId="9" borderId="55" xfId="2" applyFont="1" applyFill="1" applyBorder="1" applyAlignment="1">
      <alignment horizontal="left" vertical="center" wrapText="1"/>
    </xf>
    <xf numFmtId="0" fontId="24" fillId="9" borderId="56" xfId="2" applyFont="1" applyFill="1" applyBorder="1" applyAlignment="1">
      <alignment horizontal="center" vertical="center"/>
    </xf>
    <xf numFmtId="0" fontId="24" fillId="9" borderId="55" xfId="2" applyFont="1" applyFill="1" applyBorder="1" applyAlignment="1">
      <alignment horizontal="center" vertical="center"/>
    </xf>
    <xf numFmtId="3" fontId="24" fillId="9" borderId="55" xfId="2" applyNumberFormat="1" applyFont="1" applyFill="1" applyBorder="1" applyAlignment="1">
      <alignment horizontal="center" vertical="center"/>
    </xf>
    <xf numFmtId="3" fontId="24" fillId="0" borderId="55" xfId="2" applyNumberFormat="1" applyFont="1" applyBorder="1" applyAlignment="1">
      <alignment horizontal="center" vertical="center"/>
    </xf>
    <xf numFmtId="49" fontId="20" fillId="9" borderId="48" xfId="0" applyNumberFormat="1" applyFont="1" applyFill="1" applyBorder="1" applyAlignment="1">
      <alignment horizontal="left" vertical="center" wrapText="1"/>
    </xf>
    <xf numFmtId="49" fontId="5" fillId="9" borderId="48" xfId="0" applyNumberFormat="1" applyFont="1" applyFill="1" applyBorder="1" applyAlignment="1">
      <alignment horizontal="center" vertical="center"/>
    </xf>
    <xf numFmtId="0" fontId="5" fillId="9" borderId="48" xfId="0" applyNumberFormat="1" applyFont="1" applyFill="1" applyBorder="1" applyAlignment="1">
      <alignment horizontal="center" vertical="center"/>
    </xf>
    <xf numFmtId="3" fontId="5" fillId="9" borderId="48" xfId="0" applyNumberFormat="1" applyFont="1" applyFill="1" applyBorder="1" applyAlignment="1">
      <alignment horizontal="center" vertical="center"/>
    </xf>
    <xf numFmtId="49" fontId="5" fillId="10" borderId="48" xfId="0" applyNumberFormat="1" applyFont="1" applyFill="1" applyBorder="1" applyAlignment="1">
      <alignment horizontal="left" wrapText="1"/>
    </xf>
    <xf numFmtId="49" fontId="25" fillId="2" borderId="48" xfId="0" applyNumberFormat="1" applyFont="1" applyFill="1" applyBorder="1" applyAlignment="1">
      <alignment horizontal="left"/>
    </xf>
    <xf numFmtId="49" fontId="24" fillId="10" borderId="48" xfId="0" applyNumberFormat="1" applyFont="1" applyFill="1" applyBorder="1" applyAlignment="1">
      <alignment horizontal="left"/>
    </xf>
    <xf numFmtId="49" fontId="24" fillId="10" borderId="48" xfId="0" applyNumberFormat="1" applyFont="1" applyFill="1" applyBorder="1" applyAlignment="1">
      <alignment horizontal="center"/>
    </xf>
    <xf numFmtId="0" fontId="24" fillId="10" borderId="48" xfId="0" applyNumberFormat="1" applyFont="1" applyFill="1" applyBorder="1" applyAlignment="1">
      <alignment horizontal="center"/>
    </xf>
    <xf numFmtId="3" fontId="24" fillId="10" borderId="48" xfId="0" applyNumberFormat="1" applyFont="1" applyFill="1" applyBorder="1" applyAlignment="1">
      <alignment horizontal="center"/>
    </xf>
    <xf numFmtId="49" fontId="24" fillId="2" borderId="48" xfId="0" applyNumberFormat="1" applyFont="1" applyFill="1" applyBorder="1" applyAlignment="1">
      <alignment horizontal="left"/>
    </xf>
    <xf numFmtId="49" fontId="24" fillId="2" borderId="48" xfId="0" applyNumberFormat="1" applyFont="1" applyFill="1" applyBorder="1" applyAlignment="1">
      <alignment horizontal="center"/>
    </xf>
    <xf numFmtId="0" fontId="24" fillId="2" borderId="48" xfId="0" applyNumberFormat="1" applyFont="1" applyFill="1" applyBorder="1" applyAlignment="1">
      <alignment horizontal="center"/>
    </xf>
    <xf numFmtId="0" fontId="30" fillId="9" borderId="55" xfId="2" applyFont="1" applyFill="1" applyBorder="1" applyAlignment="1">
      <alignment horizontal="center" vertical="center"/>
    </xf>
    <xf numFmtId="3" fontId="24" fillId="2" borderId="48" xfId="0" applyNumberFormat="1" applyFont="1" applyFill="1" applyBorder="1" applyAlignment="1">
      <alignment horizontal="center"/>
    </xf>
    <xf numFmtId="0" fontId="24" fillId="9" borderId="55" xfId="2" applyFont="1" applyFill="1" applyBorder="1" applyAlignment="1">
      <alignment vertical="center" wrapText="1"/>
    </xf>
    <xf numFmtId="0" fontId="24" fillId="9" borderId="56" xfId="2" applyFont="1" applyFill="1" applyBorder="1" applyAlignment="1">
      <alignment horizontal="center" vertical="center" wrapText="1"/>
    </xf>
    <xf numFmtId="3" fontId="30" fillId="9" borderId="55" xfId="2" applyNumberFormat="1" applyFont="1" applyFill="1" applyBorder="1" applyAlignment="1">
      <alignment horizontal="center" vertical="center"/>
    </xf>
    <xf numFmtId="0" fontId="24" fillId="10" borderId="55" xfId="2" applyFont="1" applyFill="1" applyBorder="1" applyAlignment="1">
      <alignment horizontal="center" vertical="center"/>
    </xf>
    <xf numFmtId="3" fontId="24" fillId="10" borderId="55" xfId="2" applyNumberFormat="1" applyFont="1" applyFill="1" applyBorder="1" applyAlignment="1">
      <alignment horizontal="center" vertical="center"/>
    </xf>
    <xf numFmtId="0" fontId="24" fillId="0" borderId="55" xfId="7" applyFont="1" applyFill="1" applyBorder="1" applyAlignment="1">
      <alignment horizontal="left" vertical="center"/>
    </xf>
    <xf numFmtId="49" fontId="5" fillId="10" borderId="5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 wrapText="1"/>
    </xf>
    <xf numFmtId="3" fontId="5" fillId="10" borderId="5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center" wrapText="1"/>
    </xf>
    <xf numFmtId="49" fontId="5" fillId="9" borderId="5" xfId="0" applyNumberFormat="1" applyFont="1" applyFill="1" applyBorder="1" applyAlignment="1">
      <alignment horizontal="right" vertical="center"/>
    </xf>
    <xf numFmtId="49" fontId="5" fillId="9" borderId="48" xfId="0" applyNumberFormat="1" applyFont="1" applyFill="1" applyBorder="1" applyAlignment="1">
      <alignment horizontal="left" wrapText="1"/>
    </xf>
    <xf numFmtId="1" fontId="0" fillId="0" borderId="0" xfId="0" applyNumberFormat="1" applyFont="1" applyAlignment="1"/>
    <xf numFmtId="164" fontId="0" fillId="0" borderId="0" xfId="0" applyNumberFormat="1" applyFont="1" applyAlignment="1"/>
    <xf numFmtId="3" fontId="5" fillId="9" borderId="5" xfId="0" applyNumberFormat="1" applyFont="1" applyFill="1" applyBorder="1" applyAlignment="1">
      <alignment horizontal="right"/>
    </xf>
    <xf numFmtId="49" fontId="5" fillId="9" borderId="55" xfId="7" applyNumberFormat="1" applyFont="1" applyFill="1" applyBorder="1" applyAlignment="1">
      <alignment horizontal="right" vertical="center" wrapText="1"/>
    </xf>
    <xf numFmtId="166" fontId="5" fillId="9" borderId="55" xfId="7" applyNumberFormat="1" applyFont="1" applyFill="1" applyBorder="1" applyAlignment="1">
      <alignment horizontal="right" vertical="center" wrapText="1"/>
    </xf>
    <xf numFmtId="3" fontId="5" fillId="9" borderId="55" xfId="7" applyNumberFormat="1" applyFont="1" applyFill="1" applyBorder="1" applyAlignment="1">
      <alignment horizontal="right" vertical="center" wrapText="1"/>
    </xf>
    <xf numFmtId="49" fontId="12" fillId="2" borderId="5" xfId="0" applyNumberFormat="1" applyFont="1" applyFill="1" applyBorder="1" applyAlignment="1">
      <alignment horizontal="right" vertical="center"/>
    </xf>
    <xf numFmtId="17" fontId="29" fillId="0" borderId="55" xfId="1" applyNumberFormat="1" applyFont="1" applyBorder="1" applyAlignment="1">
      <alignment horizontal="right" vertical="center"/>
    </xf>
    <xf numFmtId="3" fontId="28" fillId="9" borderId="48" xfId="5" applyNumberFormat="1" applyFont="1" applyFill="1" applyBorder="1" applyAlignment="1">
      <alignment horizontal="center"/>
    </xf>
    <xf numFmtId="0" fontId="29" fillId="9" borderId="48" xfId="5" applyFont="1" applyFill="1" applyBorder="1" applyAlignment="1">
      <alignment horizontal="center" vertical="center"/>
    </xf>
    <xf numFmtId="0" fontId="24" fillId="9" borderId="48" xfId="5" applyFont="1" applyFill="1" applyBorder="1" applyAlignment="1">
      <alignment horizontal="center" vertical="center"/>
    </xf>
    <xf numFmtId="3" fontId="29" fillId="9" borderId="48" xfId="5" applyNumberFormat="1" applyFont="1" applyFill="1" applyBorder="1" applyAlignment="1">
      <alignment horizontal="center" vertical="center" wrapText="1"/>
    </xf>
    <xf numFmtId="3" fontId="24" fillId="9" borderId="48" xfId="5" applyNumberFormat="1" applyFont="1" applyFill="1" applyBorder="1" applyAlignment="1">
      <alignment horizontal="center"/>
    </xf>
    <xf numFmtId="3" fontId="29" fillId="9" borderId="48" xfId="5" applyNumberFormat="1" applyFont="1" applyFill="1" applyBorder="1" applyAlignment="1">
      <alignment horizontal="center"/>
    </xf>
    <xf numFmtId="0" fontId="29" fillId="9" borderId="48" xfId="5" applyFont="1" applyFill="1" applyBorder="1" applyAlignment="1">
      <alignment horizontal="left" vertical="center"/>
    </xf>
    <xf numFmtId="49" fontId="24" fillId="9" borderId="48" xfId="0" applyNumberFormat="1" applyFont="1" applyFill="1" applyBorder="1" applyAlignment="1">
      <alignment horizontal="left"/>
    </xf>
    <xf numFmtId="49" fontId="24" fillId="9" borderId="48" xfId="0" applyNumberFormat="1" applyFont="1" applyFill="1" applyBorder="1" applyAlignment="1">
      <alignment horizontal="center"/>
    </xf>
    <xf numFmtId="0" fontId="24" fillId="9" borderId="48" xfId="0" applyNumberFormat="1" applyFont="1" applyFill="1" applyBorder="1" applyAlignment="1">
      <alignment horizontal="center"/>
    </xf>
    <xf numFmtId="3" fontId="24" fillId="9" borderId="48" xfId="0" applyNumberFormat="1" applyFont="1" applyFill="1" applyBorder="1" applyAlignment="1">
      <alignment horizontal="center"/>
    </xf>
    <xf numFmtId="165" fontId="13" fillId="7" borderId="33" xfId="0" applyNumberFormat="1" applyFont="1" applyFill="1" applyBorder="1" applyAlignment="1">
      <alignment horizontal="center" vertical="center"/>
    </xf>
    <xf numFmtId="165" fontId="13" fillId="7" borderId="3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wrapText="1"/>
    </xf>
    <xf numFmtId="49" fontId="12" fillId="2" borderId="4" xfId="0" applyNumberFormat="1" applyFont="1" applyFill="1" applyBorder="1" applyAlignment="1">
      <alignment vertical="center" wrapText="1"/>
    </xf>
    <xf numFmtId="49" fontId="12" fillId="9" borderId="5" xfId="0" applyNumberFormat="1" applyFont="1" applyFill="1" applyBorder="1" applyAlignment="1">
      <alignment horizontal="right" vertical="center"/>
    </xf>
    <xf numFmtId="49" fontId="12" fillId="9" borderId="55" xfId="7" applyNumberFormat="1" applyFont="1" applyFill="1" applyBorder="1" applyAlignment="1">
      <alignment horizontal="right" vertical="center" wrapText="1"/>
    </xf>
    <xf numFmtId="49" fontId="12" fillId="2" borderId="55" xfId="7" applyNumberFormat="1" applyFont="1" applyFill="1" applyBorder="1" applyAlignment="1">
      <alignment horizontal="right" vertical="center" wrapText="1"/>
    </xf>
    <xf numFmtId="166" fontId="12" fillId="9" borderId="55" xfId="7" applyNumberFormat="1" applyFont="1" applyFill="1" applyBorder="1" applyAlignment="1">
      <alignment horizontal="right" vertical="center" wrapText="1"/>
    </xf>
    <xf numFmtId="49" fontId="12" fillId="2" borderId="5" xfId="0" applyNumberFormat="1" applyFont="1" applyFill="1" applyBorder="1" applyAlignment="1"/>
    <xf numFmtId="0" fontId="12" fillId="2" borderId="5" xfId="0" applyFont="1" applyFill="1" applyBorder="1" applyAlignment="1"/>
    <xf numFmtId="3" fontId="12" fillId="9" borderId="55" xfId="7" applyNumberFormat="1" applyFont="1" applyFill="1" applyBorder="1" applyAlignment="1">
      <alignment horizontal="right" vertical="center" wrapText="1"/>
    </xf>
    <xf numFmtId="17" fontId="33" fillId="0" borderId="55" xfId="1" applyNumberFormat="1" applyFont="1" applyBorder="1" applyAlignment="1">
      <alignment horizontal="right" vertical="center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8" fillId="8" borderId="52" xfId="0" applyNumberFormat="1" applyFont="1" applyFill="1" applyBorder="1" applyAlignment="1">
      <alignment horizontal="center" vertical="center"/>
    </xf>
    <xf numFmtId="49" fontId="18" fillId="8" borderId="53" xfId="0" applyNumberFormat="1" applyFont="1" applyFill="1" applyBorder="1" applyAlignment="1">
      <alignment horizontal="center" vertical="center"/>
    </xf>
    <xf numFmtId="49" fontId="18" fillId="8" borderId="54" xfId="0" applyNumberFormat="1" applyFont="1" applyFill="1" applyBorder="1" applyAlignment="1">
      <alignment horizontal="center" vertical="center"/>
    </xf>
    <xf numFmtId="49" fontId="18" fillId="8" borderId="35" xfId="0" applyNumberFormat="1" applyFont="1" applyFill="1" applyBorder="1" applyAlignment="1">
      <alignment vertical="center"/>
    </xf>
    <xf numFmtId="0" fontId="13" fillId="8" borderId="36" xfId="0" applyFont="1" applyFill="1" applyBorder="1" applyAlignment="1">
      <alignment vertical="center"/>
    </xf>
    <xf numFmtId="49" fontId="12" fillId="2" borderId="5" xfId="0" applyNumberFormat="1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49" fontId="12" fillId="2" borderId="5" xfId="0" applyNumberFormat="1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right" vertical="center" wrapText="1"/>
    </xf>
  </cellXfs>
  <cellStyles count="9">
    <cellStyle name="Millares [0] 2" xfId="3" xr:uid="{00000000-0005-0000-0000-000000000000}"/>
    <cellStyle name="Millares 2" xfId="6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5" xr:uid="{00000000-0005-0000-0000-000005000000}"/>
    <cellStyle name="Normal 5" xfId="7" xr:uid="{00000000-0005-0000-0000-000006000000}"/>
    <cellStyle name="Porcentaje 2" xfId="4" xr:uid="{00000000-0005-0000-0000-000007000000}"/>
    <cellStyle name="Porcentaje 3" xfId="8" xr:uid="{00000000-0005-0000-0000-000008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7</xdr:col>
      <xdr:colOff>30646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099" y="123825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6</xdr:col>
      <xdr:colOff>994230</xdr:colOff>
      <xdr:row>7</xdr:row>
      <xdr:rowOff>18749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712486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O142"/>
  <sheetViews>
    <sheetView showGridLines="0" tabSelected="1" topLeftCell="B10" zoomScale="110" zoomScaleNormal="110" zoomScaleSheetLayoutView="100" workbookViewId="0">
      <selection activeCell="H25" sqref="H25"/>
    </sheetView>
  </sheetViews>
  <sheetFormatPr baseColWidth="10" defaultColWidth="10.85546875" defaultRowHeight="11.25" customHeight="1"/>
  <cols>
    <col min="1" max="1" width="0" hidden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0" customWidth="1"/>
    <col min="8" max="8" width="29.5703125" style="1" customWidth="1"/>
    <col min="9" max="249" width="10.85546875" style="1" customWidth="1"/>
  </cols>
  <sheetData>
    <row r="1" spans="2:10" ht="15" customHeight="1">
      <c r="B1" s="2"/>
      <c r="C1" s="2"/>
      <c r="D1" s="2"/>
      <c r="E1" s="2"/>
      <c r="F1" s="2"/>
      <c r="G1" s="97"/>
    </row>
    <row r="2" spans="2:10" ht="15" customHeight="1">
      <c r="B2" s="2"/>
      <c r="C2" s="2"/>
      <c r="D2" s="2"/>
      <c r="E2" s="2"/>
      <c r="F2" s="2"/>
      <c r="G2" s="97"/>
    </row>
    <row r="3" spans="2:10" ht="15" customHeight="1">
      <c r="B3" s="2"/>
      <c r="C3" s="2"/>
      <c r="D3" s="2"/>
      <c r="E3" s="2"/>
      <c r="F3" s="2"/>
      <c r="G3" s="97"/>
    </row>
    <row r="4" spans="2:10" ht="15" customHeight="1">
      <c r="B4" s="2"/>
      <c r="C4" s="2"/>
      <c r="D4" s="2"/>
      <c r="E4" s="2"/>
      <c r="F4" s="2"/>
      <c r="G4" s="97"/>
    </row>
    <row r="5" spans="2:10" ht="15" customHeight="1">
      <c r="B5" s="2"/>
      <c r="C5" s="2"/>
      <c r="D5" s="2"/>
      <c r="E5" s="2"/>
      <c r="F5" s="2"/>
      <c r="G5" s="97"/>
    </row>
    <row r="6" spans="2:10" ht="15" customHeight="1">
      <c r="B6" s="2"/>
      <c r="C6" s="2"/>
      <c r="D6" s="2"/>
      <c r="E6" s="2"/>
      <c r="F6" s="2"/>
      <c r="G6" s="97"/>
    </row>
    <row r="7" spans="2:10" ht="15" customHeight="1">
      <c r="B7" s="2"/>
      <c r="C7" s="2"/>
      <c r="D7" s="2"/>
      <c r="E7" s="2"/>
      <c r="F7" s="2"/>
      <c r="G7" s="97"/>
    </row>
    <row r="8" spans="2:10" ht="15" customHeight="1">
      <c r="B8" s="3"/>
      <c r="C8" s="4"/>
      <c r="D8" s="2"/>
      <c r="E8" s="4"/>
      <c r="F8" s="4"/>
      <c r="G8" s="98"/>
    </row>
    <row r="9" spans="2:10" ht="12" customHeight="1">
      <c r="B9" s="5" t="s">
        <v>0</v>
      </c>
      <c r="C9" s="213" t="s">
        <v>99</v>
      </c>
      <c r="D9" s="6"/>
      <c r="E9" s="238" t="s">
        <v>105</v>
      </c>
      <c r="F9" s="239"/>
      <c r="G9" s="209">
        <v>560000</v>
      </c>
    </row>
    <row r="10" spans="2:10" ht="18" customHeight="1">
      <c r="B10" s="7" t="s">
        <v>1</v>
      </c>
      <c r="C10" s="205" t="s">
        <v>118</v>
      </c>
      <c r="D10" s="8"/>
      <c r="E10" s="240" t="s">
        <v>2</v>
      </c>
      <c r="F10" s="241"/>
      <c r="G10" s="210" t="s">
        <v>148</v>
      </c>
    </row>
    <row r="11" spans="2:10" ht="18" customHeight="1">
      <c r="B11" s="7" t="s">
        <v>3</v>
      </c>
      <c r="C11" s="140" t="s">
        <v>100</v>
      </c>
      <c r="D11" s="8"/>
      <c r="E11" s="240" t="s">
        <v>60</v>
      </c>
      <c r="F11" s="241"/>
      <c r="G11" s="211">
        <v>130</v>
      </c>
      <c r="I11" s="152"/>
      <c r="J11" s="152"/>
    </row>
    <row r="12" spans="2:10" ht="11.25" customHeight="1">
      <c r="B12" s="7" t="s">
        <v>4</v>
      </c>
      <c r="C12" s="134" t="s">
        <v>64</v>
      </c>
      <c r="D12" s="8"/>
      <c r="E12" s="10" t="s">
        <v>5</v>
      </c>
      <c r="F12" s="11"/>
      <c r="G12" s="212">
        <f>G9*G11</f>
        <v>72800000</v>
      </c>
    </row>
    <row r="13" spans="2:10" ht="11.25" customHeight="1">
      <c r="B13" s="7" t="s">
        <v>6</v>
      </c>
      <c r="C13" s="134" t="s">
        <v>106</v>
      </c>
      <c r="D13" s="8"/>
      <c r="E13" s="240" t="s">
        <v>7</v>
      </c>
      <c r="F13" s="241"/>
      <c r="G13" s="210" t="s">
        <v>119</v>
      </c>
    </row>
    <row r="14" spans="2:10" ht="13.5" customHeight="1">
      <c r="B14" s="7" t="s">
        <v>8</v>
      </c>
      <c r="C14" s="134" t="s">
        <v>106</v>
      </c>
      <c r="D14" s="8"/>
      <c r="E14" s="240" t="s">
        <v>9</v>
      </c>
      <c r="F14" s="241"/>
      <c r="G14" s="140" t="s">
        <v>148</v>
      </c>
    </row>
    <row r="15" spans="2:10" ht="25.5" customHeight="1">
      <c r="B15" s="7" t="s">
        <v>10</v>
      </c>
      <c r="C15" s="214">
        <v>44562</v>
      </c>
      <c r="D15" s="8"/>
      <c r="E15" s="242" t="s">
        <v>11</v>
      </c>
      <c r="F15" s="243"/>
      <c r="G15" s="140" t="s">
        <v>153</v>
      </c>
    </row>
    <row r="16" spans="2:10" ht="12" customHeight="1">
      <c r="B16" s="12"/>
      <c r="C16" s="13"/>
      <c r="D16" s="14"/>
      <c r="E16" s="15"/>
      <c r="F16" s="15"/>
      <c r="G16" s="99"/>
    </row>
    <row r="17" spans="2:7" ht="12" customHeight="1">
      <c r="B17" s="244" t="s">
        <v>12</v>
      </c>
      <c r="C17" s="245"/>
      <c r="D17" s="245"/>
      <c r="E17" s="245"/>
      <c r="F17" s="245"/>
      <c r="G17" s="245"/>
    </row>
    <row r="18" spans="2:7" ht="12" customHeight="1">
      <c r="B18" s="16"/>
      <c r="C18" s="17"/>
      <c r="D18" s="17"/>
      <c r="E18" s="17"/>
      <c r="F18" s="18"/>
      <c r="G18" s="100"/>
    </row>
    <row r="19" spans="2:7" ht="12" customHeight="1">
      <c r="B19" s="19" t="s">
        <v>13</v>
      </c>
      <c r="C19" s="20"/>
      <c r="D19" s="21"/>
      <c r="E19" s="21"/>
      <c r="F19" s="21"/>
      <c r="G19" s="101"/>
    </row>
    <row r="20" spans="2:7" ht="24" customHeight="1"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2:7" ht="12.75" customHeight="1">
      <c r="B21" s="9"/>
      <c r="C21" s="23"/>
      <c r="D21" s="90"/>
      <c r="E21" s="23"/>
      <c r="F21" s="123"/>
      <c r="G21" s="123"/>
    </row>
    <row r="22" spans="2:7" ht="12.75" customHeight="1">
      <c r="B22" s="135" t="s">
        <v>120</v>
      </c>
      <c r="C22" s="23"/>
      <c r="D22" s="90"/>
      <c r="E22" s="23"/>
      <c r="F22" s="123"/>
      <c r="G22" s="123"/>
    </row>
    <row r="23" spans="2:7" ht="28.5" customHeight="1">
      <c r="B23" s="157" t="s">
        <v>149</v>
      </c>
      <c r="C23" s="157" t="s">
        <v>20</v>
      </c>
      <c r="D23" s="158">
        <v>18</v>
      </c>
      <c r="E23" s="157" t="s">
        <v>65</v>
      </c>
      <c r="F23" s="159">
        <v>75000</v>
      </c>
      <c r="G23" s="159">
        <f>D23*F23/2</f>
        <v>675000</v>
      </c>
    </row>
    <row r="24" spans="2:7" ht="12.75" customHeight="1">
      <c r="B24" s="153"/>
      <c r="C24" s="154"/>
      <c r="D24" s="155"/>
      <c r="E24" s="154"/>
      <c r="F24" s="156"/>
      <c r="G24" s="156"/>
    </row>
    <row r="25" spans="2:7" ht="27.75" customHeight="1">
      <c r="B25" s="160" t="s">
        <v>121</v>
      </c>
      <c r="C25" s="23"/>
      <c r="D25" s="90"/>
      <c r="E25" s="23"/>
      <c r="F25" s="123"/>
      <c r="G25" s="123"/>
    </row>
    <row r="26" spans="2:7" ht="12.75" customHeight="1">
      <c r="B26" s="200" t="s">
        <v>67</v>
      </c>
      <c r="C26" s="144" t="s">
        <v>20</v>
      </c>
      <c r="D26" s="144">
        <f>4*6/2</f>
        <v>12</v>
      </c>
      <c r="E26" s="144" t="s">
        <v>68</v>
      </c>
      <c r="F26" s="143">
        <v>27000</v>
      </c>
      <c r="G26" s="145">
        <f>D26*F26</f>
        <v>324000</v>
      </c>
    </row>
    <row r="27" spans="2:7" ht="12.75" customHeight="1">
      <c r="B27" s="200" t="s">
        <v>69</v>
      </c>
      <c r="C27" s="142" t="s">
        <v>20</v>
      </c>
      <c r="D27" s="144">
        <f>1*6/2</f>
        <v>3</v>
      </c>
      <c r="E27" s="144" t="s">
        <v>68</v>
      </c>
      <c r="F27" s="143">
        <v>27000</v>
      </c>
      <c r="G27" s="145">
        <f t="shared" ref="G27" si="0">D27*F27</f>
        <v>81000</v>
      </c>
    </row>
    <row r="28" spans="2:7" ht="12.75" customHeight="1">
      <c r="B28" s="200" t="s">
        <v>70</v>
      </c>
      <c r="C28" s="144" t="s">
        <v>20</v>
      </c>
      <c r="D28" s="144">
        <f>2/8*4/2</f>
        <v>0.5</v>
      </c>
      <c r="E28" s="144" t="s">
        <v>68</v>
      </c>
      <c r="F28" s="143">
        <v>27000</v>
      </c>
      <c r="G28" s="145">
        <f>D28*F28</f>
        <v>13500</v>
      </c>
    </row>
    <row r="29" spans="2:7" ht="12.75" customHeight="1">
      <c r="B29" s="200" t="s">
        <v>71</v>
      </c>
      <c r="C29" s="142" t="s">
        <v>20</v>
      </c>
      <c r="D29" s="142">
        <v>11</v>
      </c>
      <c r="E29" s="144" t="s">
        <v>72</v>
      </c>
      <c r="F29" s="143">
        <v>27000</v>
      </c>
      <c r="G29" s="145">
        <f t="shared" ref="G29:G30" si="1">D29*F29</f>
        <v>297000</v>
      </c>
    </row>
    <row r="30" spans="2:7" ht="12.75" customHeight="1">
      <c r="B30" s="148" t="s">
        <v>103</v>
      </c>
      <c r="C30" s="142" t="s">
        <v>20</v>
      </c>
      <c r="D30" s="142">
        <v>550</v>
      </c>
      <c r="E30" s="142" t="s">
        <v>145</v>
      </c>
      <c r="F30" s="143">
        <v>27000</v>
      </c>
      <c r="G30" s="145">
        <f t="shared" si="1"/>
        <v>14850000</v>
      </c>
    </row>
    <row r="31" spans="2:7" ht="12.75" customHeight="1">
      <c r="B31" s="200" t="s">
        <v>74</v>
      </c>
      <c r="C31" s="144" t="s">
        <v>20</v>
      </c>
      <c r="D31" s="144">
        <f>0.5*4*8+0.5*2*9</f>
        <v>25</v>
      </c>
      <c r="E31" s="144" t="s">
        <v>146</v>
      </c>
      <c r="F31" s="143">
        <v>27000</v>
      </c>
      <c r="G31" s="145">
        <f>D31*F31</f>
        <v>675000</v>
      </c>
    </row>
    <row r="32" spans="2:7" ht="12.75" customHeight="1">
      <c r="B32" s="148" t="s">
        <v>75</v>
      </c>
      <c r="C32" s="142" t="s">
        <v>20</v>
      </c>
      <c r="D32" s="146">
        <f>1.5/8*4+3/8*6*8+3*4*4</f>
        <v>66.75</v>
      </c>
      <c r="E32" s="142" t="s">
        <v>76</v>
      </c>
      <c r="F32" s="143">
        <v>27000</v>
      </c>
      <c r="G32" s="143">
        <f>D32*F32</f>
        <v>1802250</v>
      </c>
    </row>
    <row r="33" spans="2:10" ht="12.75" customHeight="1">
      <c r="B33" s="148" t="s">
        <v>77</v>
      </c>
      <c r="C33" s="142" t="s">
        <v>20</v>
      </c>
      <c r="D33" s="142">
        <f>40/60/8*30*3.5</f>
        <v>8.75</v>
      </c>
      <c r="E33" s="142" t="s">
        <v>76</v>
      </c>
      <c r="F33" s="143">
        <v>27000</v>
      </c>
      <c r="G33" s="143">
        <f t="shared" ref="G33:G36" si="2">D33*F33</f>
        <v>236250</v>
      </c>
    </row>
    <row r="34" spans="2:10" ht="12.75" customHeight="1">
      <c r="B34" s="147" t="s">
        <v>78</v>
      </c>
      <c r="C34" s="142" t="s">
        <v>20</v>
      </c>
      <c r="D34" s="142">
        <f>0.5*4*6</f>
        <v>12</v>
      </c>
      <c r="E34" s="142" t="s">
        <v>76</v>
      </c>
      <c r="F34" s="143">
        <v>27000</v>
      </c>
      <c r="G34" s="143">
        <f t="shared" si="2"/>
        <v>324000</v>
      </c>
    </row>
    <row r="35" spans="2:10" ht="12.75" customHeight="1">
      <c r="B35" s="147" t="s">
        <v>79</v>
      </c>
      <c r="C35" s="142" t="s">
        <v>20</v>
      </c>
      <c r="D35" s="142">
        <v>24</v>
      </c>
      <c r="E35" s="142" t="s">
        <v>147</v>
      </c>
      <c r="F35" s="143">
        <v>27000</v>
      </c>
      <c r="G35" s="143">
        <f t="shared" si="2"/>
        <v>648000</v>
      </c>
    </row>
    <row r="36" spans="2:10" ht="12.75" customHeight="1">
      <c r="B36" s="147" t="s">
        <v>80</v>
      </c>
      <c r="C36" s="142" t="s">
        <v>20</v>
      </c>
      <c r="D36" s="142">
        <v>20</v>
      </c>
      <c r="E36" s="142" t="s">
        <v>144</v>
      </c>
      <c r="F36" s="143">
        <v>27000</v>
      </c>
      <c r="G36" s="143">
        <f t="shared" si="2"/>
        <v>540000</v>
      </c>
      <c r="H36" s="121"/>
    </row>
    <row r="37" spans="2:10" ht="12.75" customHeight="1">
      <c r="B37" s="141"/>
      <c r="C37" s="142"/>
      <c r="D37" s="142"/>
      <c r="E37" s="142"/>
      <c r="F37" s="145"/>
      <c r="G37" s="143"/>
    </row>
    <row r="38" spans="2:10" ht="12.75" customHeight="1">
      <c r="B38" s="160" t="s">
        <v>122</v>
      </c>
      <c r="C38" s="161"/>
      <c r="D38" s="162"/>
      <c r="E38" s="161"/>
      <c r="F38" s="163"/>
      <c r="G38" s="163"/>
    </row>
    <row r="39" spans="2:10" ht="12.75" customHeight="1">
      <c r="B39" s="164" t="s">
        <v>104</v>
      </c>
      <c r="C39" s="161" t="s">
        <v>20</v>
      </c>
      <c r="D39" s="162">
        <v>230</v>
      </c>
      <c r="E39" s="161" t="s">
        <v>123</v>
      </c>
      <c r="F39" s="163">
        <v>27000</v>
      </c>
      <c r="G39" s="163">
        <f t="shared" ref="G39:G41" si="3">D39*F39</f>
        <v>6210000</v>
      </c>
      <c r="H39" s="152"/>
    </row>
    <row r="40" spans="2:10" ht="12.75" customHeight="1">
      <c r="B40" s="160" t="s">
        <v>124</v>
      </c>
      <c r="C40" s="161"/>
      <c r="D40" s="162"/>
      <c r="E40" s="161"/>
      <c r="F40" s="163"/>
      <c r="G40" s="163"/>
    </row>
    <row r="41" spans="2:10" ht="12.75" customHeight="1">
      <c r="B41" s="164" t="s">
        <v>125</v>
      </c>
      <c r="C41" s="161" t="s">
        <v>20</v>
      </c>
      <c r="D41" s="162">
        <v>175</v>
      </c>
      <c r="E41" s="161" t="s">
        <v>123</v>
      </c>
      <c r="F41" s="163">
        <v>27000</v>
      </c>
      <c r="G41" s="163">
        <f t="shared" si="3"/>
        <v>4725000</v>
      </c>
      <c r="H41" s="121"/>
      <c r="J41" s="207"/>
    </row>
    <row r="42" spans="2:10" ht="12.75" customHeight="1">
      <c r="B42" s="164"/>
      <c r="C42" s="161"/>
      <c r="D42" s="162"/>
      <c r="E42" s="161"/>
      <c r="F42" s="163"/>
      <c r="G42" s="163"/>
    </row>
    <row r="43" spans="2:10" ht="12.75" customHeight="1">
      <c r="B43" s="24" t="s">
        <v>21</v>
      </c>
      <c r="C43" s="25"/>
      <c r="D43" s="25"/>
      <c r="E43" s="25"/>
      <c r="F43" s="26"/>
      <c r="G43" s="124">
        <f>SUM(G21:G42)</f>
        <v>31401000</v>
      </c>
    </row>
    <row r="44" spans="2:10" ht="12" customHeight="1">
      <c r="B44" s="16"/>
      <c r="C44" s="18"/>
      <c r="D44" s="18"/>
      <c r="E44" s="18"/>
      <c r="F44" s="27"/>
      <c r="G44" s="102"/>
    </row>
    <row r="45" spans="2:10" ht="12" customHeight="1">
      <c r="B45" s="28" t="s">
        <v>22</v>
      </c>
      <c r="C45" s="29"/>
      <c r="D45" s="30"/>
      <c r="E45" s="30"/>
      <c r="F45" s="31"/>
      <c r="G45" s="103"/>
    </row>
    <row r="46" spans="2:10" ht="24" customHeight="1">
      <c r="B46" s="32" t="s">
        <v>14</v>
      </c>
      <c r="C46" s="33" t="s">
        <v>15</v>
      </c>
      <c r="D46" s="33" t="s">
        <v>16</v>
      </c>
      <c r="E46" s="32" t="s">
        <v>56</v>
      </c>
      <c r="F46" s="33" t="s">
        <v>18</v>
      </c>
      <c r="G46" s="32" t="s">
        <v>19</v>
      </c>
    </row>
    <row r="47" spans="2:10" ht="12" customHeight="1">
      <c r="B47" s="34" t="s">
        <v>81</v>
      </c>
      <c r="C47" s="34" t="s">
        <v>81</v>
      </c>
      <c r="D47" s="34" t="s">
        <v>81</v>
      </c>
      <c r="E47" s="34" t="s">
        <v>81</v>
      </c>
      <c r="F47" s="89"/>
      <c r="G47" s="126"/>
    </row>
    <row r="48" spans="2:10" ht="12" customHeight="1">
      <c r="B48" s="35" t="s">
        <v>23</v>
      </c>
      <c r="C48" s="36"/>
      <c r="D48" s="36"/>
      <c r="E48" s="36"/>
      <c r="F48" s="37"/>
      <c r="G48" s="127"/>
    </row>
    <row r="49" spans="2:7" ht="12" customHeight="1">
      <c r="B49" s="38"/>
      <c r="C49" s="39"/>
      <c r="D49" s="39"/>
      <c r="E49" s="39"/>
      <c r="F49" s="40"/>
      <c r="G49" s="104"/>
    </row>
    <row r="50" spans="2:7" ht="12" customHeight="1">
      <c r="B50" s="28" t="s">
        <v>24</v>
      </c>
      <c r="C50" s="29"/>
      <c r="D50" s="30"/>
      <c r="E50" s="30"/>
      <c r="F50" s="31"/>
      <c r="G50" s="103"/>
    </row>
    <row r="51" spans="2:7" ht="24" customHeight="1">
      <c r="B51" s="41" t="s">
        <v>14</v>
      </c>
      <c r="C51" s="41" t="s">
        <v>15</v>
      </c>
      <c r="D51" s="41" t="s">
        <v>16</v>
      </c>
      <c r="E51" s="41" t="s">
        <v>17</v>
      </c>
      <c r="F51" s="42" t="s">
        <v>18</v>
      </c>
      <c r="G51" s="41" t="s">
        <v>19</v>
      </c>
    </row>
    <row r="52" spans="2:7" ht="31.5" customHeight="1">
      <c r="B52" s="204" t="s">
        <v>150</v>
      </c>
      <c r="C52" s="201" t="s">
        <v>168</v>
      </c>
      <c r="D52" s="202">
        <v>3.2250000000000001</v>
      </c>
      <c r="E52" s="201" t="s">
        <v>72</v>
      </c>
      <c r="F52" s="203">
        <v>176000</v>
      </c>
      <c r="G52" s="203">
        <f>D52*F52</f>
        <v>567600</v>
      </c>
    </row>
    <row r="53" spans="2:7" ht="30.75" customHeight="1">
      <c r="B53" s="204" t="s">
        <v>82</v>
      </c>
      <c r="C53" s="201" t="s">
        <v>168</v>
      </c>
      <c r="D53" s="202">
        <v>10.23</v>
      </c>
      <c r="E53" s="201" t="s">
        <v>72</v>
      </c>
      <c r="F53" s="203">
        <v>176000</v>
      </c>
      <c r="G53" s="203">
        <f>D53*F53</f>
        <v>1800480</v>
      </c>
    </row>
    <row r="54" spans="2:7" ht="12.75" customHeight="1">
      <c r="B54" s="9"/>
      <c r="C54" s="23"/>
      <c r="D54" s="90"/>
      <c r="E54" s="23"/>
      <c r="F54" s="123"/>
      <c r="G54" s="123"/>
    </row>
    <row r="55" spans="2:7" ht="12.75" customHeight="1">
      <c r="B55" s="43" t="s">
        <v>25</v>
      </c>
      <c r="C55" s="44"/>
      <c r="D55" s="44"/>
      <c r="E55" s="44"/>
      <c r="F55" s="44"/>
      <c r="G55" s="125">
        <f>G52+G53+G54</f>
        <v>2368080</v>
      </c>
    </row>
    <row r="56" spans="2:7" ht="12" customHeight="1">
      <c r="B56" s="38"/>
      <c r="C56" s="39"/>
      <c r="D56" s="39"/>
      <c r="E56" s="39"/>
      <c r="F56" s="40"/>
      <c r="G56" s="104"/>
    </row>
    <row r="57" spans="2:7" ht="12" customHeight="1">
      <c r="B57" s="28" t="s">
        <v>26</v>
      </c>
      <c r="C57" s="29"/>
      <c r="D57" s="30"/>
      <c r="E57" s="30"/>
      <c r="F57" s="31"/>
      <c r="G57" s="103"/>
    </row>
    <row r="58" spans="2:7" ht="24" customHeight="1">
      <c r="B58" s="92" t="s">
        <v>27</v>
      </c>
      <c r="C58" s="92" t="s">
        <v>28</v>
      </c>
      <c r="D58" s="92" t="s">
        <v>29</v>
      </c>
      <c r="E58" s="92" t="s">
        <v>17</v>
      </c>
      <c r="F58" s="92" t="s">
        <v>18</v>
      </c>
      <c r="G58" s="105" t="s">
        <v>19</v>
      </c>
    </row>
    <row r="59" spans="2:7" ht="12.75" customHeight="1">
      <c r="B59" s="132" t="s">
        <v>126</v>
      </c>
      <c r="C59" s="95"/>
      <c r="D59" s="94"/>
      <c r="E59" s="95"/>
      <c r="F59" s="95"/>
      <c r="G59" s="94"/>
    </row>
    <row r="60" spans="2:7" ht="26.25" customHeight="1">
      <c r="B60" s="171" t="s">
        <v>156</v>
      </c>
      <c r="C60" s="172" t="s">
        <v>59</v>
      </c>
      <c r="D60" s="173">
        <f>2850-500</f>
        <v>2350</v>
      </c>
      <c r="E60" s="172" t="s">
        <v>66</v>
      </c>
      <c r="F60" s="174">
        <v>631</v>
      </c>
      <c r="G60" s="174">
        <f>D60*F60/2</f>
        <v>741425</v>
      </c>
    </row>
    <row r="61" spans="2:7" ht="31.5" customHeight="1">
      <c r="B61" s="169" t="s">
        <v>157</v>
      </c>
      <c r="C61" s="172" t="s">
        <v>84</v>
      </c>
      <c r="D61" s="173">
        <v>500</v>
      </c>
      <c r="E61" s="172" t="s">
        <v>66</v>
      </c>
      <c r="F61" s="174">
        <f>2950*1.19</f>
        <v>3510.5</v>
      </c>
      <c r="G61" s="174">
        <f>D61*F61</f>
        <v>1755250</v>
      </c>
    </row>
    <row r="62" spans="2:7" ht="27.75" customHeight="1">
      <c r="B62" s="169" t="s">
        <v>158</v>
      </c>
      <c r="C62" s="172" t="s">
        <v>59</v>
      </c>
      <c r="D62" s="173">
        <v>330</v>
      </c>
      <c r="E62" s="172" t="s">
        <v>66</v>
      </c>
      <c r="F62" s="174">
        <f>3700*1.19</f>
        <v>4403</v>
      </c>
      <c r="G62" s="174">
        <f>D62*F62/2</f>
        <v>726495</v>
      </c>
    </row>
    <row r="63" spans="2:7" ht="30" customHeight="1">
      <c r="B63" s="169" t="s">
        <v>161</v>
      </c>
      <c r="C63" s="172" t="s">
        <v>59</v>
      </c>
      <c r="D63" s="173">
        <v>230</v>
      </c>
      <c r="E63" s="172" t="s">
        <v>66</v>
      </c>
      <c r="F63" s="174">
        <f>3700*1.19</f>
        <v>4403</v>
      </c>
      <c r="G63" s="174">
        <f>D63*F63/2</f>
        <v>506345</v>
      </c>
    </row>
    <row r="64" spans="2:7" ht="30" customHeight="1">
      <c r="B64" s="169" t="s">
        <v>160</v>
      </c>
      <c r="C64" s="172" t="s">
        <v>59</v>
      </c>
      <c r="D64" s="173">
        <v>215</v>
      </c>
      <c r="E64" s="172" t="s">
        <v>66</v>
      </c>
      <c r="F64" s="174">
        <f>3700*1.19</f>
        <v>4403</v>
      </c>
      <c r="G64" s="174">
        <f>D64*F64/2</f>
        <v>473322.5</v>
      </c>
    </row>
    <row r="65" spans="2:7" ht="29.25" customHeight="1">
      <c r="B65" s="169" t="s">
        <v>159</v>
      </c>
      <c r="C65" s="172" t="s">
        <v>59</v>
      </c>
      <c r="D65" s="173">
        <v>80</v>
      </c>
      <c r="E65" s="172" t="s">
        <v>66</v>
      </c>
      <c r="F65" s="174">
        <f>2950*1.19</f>
        <v>3510.5</v>
      </c>
      <c r="G65" s="174">
        <f>D65*F65</f>
        <v>280840</v>
      </c>
    </row>
    <row r="66" spans="2:7" ht="27" customHeight="1">
      <c r="B66" s="169" t="s">
        <v>162</v>
      </c>
      <c r="C66" s="172" t="s">
        <v>127</v>
      </c>
      <c r="D66" s="173">
        <v>14</v>
      </c>
      <c r="E66" s="172" t="s">
        <v>66</v>
      </c>
      <c r="F66" s="174">
        <v>250000</v>
      </c>
      <c r="G66" s="174">
        <f>D66*F66/4</f>
        <v>875000</v>
      </c>
    </row>
    <row r="67" spans="2:7" ht="36.75" customHeight="1">
      <c r="B67" s="175" t="s">
        <v>163</v>
      </c>
      <c r="C67" s="176" t="s">
        <v>128</v>
      </c>
      <c r="D67" s="177">
        <v>4</v>
      </c>
      <c r="E67" s="172" t="s">
        <v>66</v>
      </c>
      <c r="F67" s="178">
        <v>52836</v>
      </c>
      <c r="G67" s="179">
        <f>D67*F67/4</f>
        <v>52836</v>
      </c>
    </row>
    <row r="68" spans="2:7" ht="36.75" customHeight="1">
      <c r="B68" s="169" t="s">
        <v>164</v>
      </c>
      <c r="C68" s="172" t="s">
        <v>59</v>
      </c>
      <c r="D68" s="173">
        <v>150</v>
      </c>
      <c r="E68" s="172" t="s">
        <v>66</v>
      </c>
      <c r="F68" s="174">
        <f>2950*1.19</f>
        <v>3510.5</v>
      </c>
      <c r="G68" s="174">
        <f t="shared" ref="G68" si="4">D68*F68</f>
        <v>526575</v>
      </c>
    </row>
    <row r="69" spans="2:7" ht="12.75" customHeight="1">
      <c r="B69" s="180" t="s">
        <v>129</v>
      </c>
      <c r="C69" s="181"/>
      <c r="D69" s="182"/>
      <c r="E69" s="181"/>
      <c r="F69" s="183"/>
      <c r="G69" s="183"/>
    </row>
    <row r="70" spans="2:7" ht="34.5" customHeight="1">
      <c r="B70" s="184" t="s">
        <v>165</v>
      </c>
      <c r="C70" s="172" t="s">
        <v>83</v>
      </c>
      <c r="D70" s="173">
        <v>11520</v>
      </c>
      <c r="E70" s="172" t="s">
        <v>73</v>
      </c>
      <c r="F70" s="174">
        <f>42*1.19</f>
        <v>49.98</v>
      </c>
      <c r="G70" s="174">
        <f>D70*F70/1</f>
        <v>575769.59999999998</v>
      </c>
    </row>
    <row r="71" spans="2:7" ht="25.5" customHeight="1">
      <c r="B71" s="169" t="s">
        <v>85</v>
      </c>
      <c r="C71" s="166" t="s">
        <v>59</v>
      </c>
      <c r="D71" s="170">
        <v>40.510127531882972</v>
      </c>
      <c r="E71" s="166" t="s">
        <v>98</v>
      </c>
      <c r="F71" s="168">
        <f>4202*1.19</f>
        <v>5000.38</v>
      </c>
      <c r="G71" s="168">
        <f t="shared" ref="G71" si="5">D71*F71</f>
        <v>202566.03150787699</v>
      </c>
    </row>
    <row r="72" spans="2:7" ht="27" customHeight="1">
      <c r="B72" s="169" t="s">
        <v>166</v>
      </c>
      <c r="C72" s="166" t="s">
        <v>130</v>
      </c>
      <c r="D72" s="170">
        <v>1</v>
      </c>
      <c r="E72" s="166" t="s">
        <v>131</v>
      </c>
      <c r="F72" s="168">
        <v>10000000</v>
      </c>
      <c r="G72" s="168">
        <f>D72*F72/4</f>
        <v>2500000</v>
      </c>
    </row>
    <row r="73" spans="2:7" ht="12.75" customHeight="1">
      <c r="B73" s="132" t="s">
        <v>132</v>
      </c>
      <c r="C73" s="91"/>
      <c r="D73" s="93"/>
      <c r="E73" s="91"/>
      <c r="F73" s="94"/>
      <c r="G73" s="94"/>
    </row>
    <row r="74" spans="2:7" ht="12.75" customHeight="1">
      <c r="B74" s="206" t="s">
        <v>151</v>
      </c>
      <c r="C74" s="151" t="s">
        <v>58</v>
      </c>
      <c r="D74" s="149">
        <v>28000</v>
      </c>
      <c r="E74" s="151" t="s">
        <v>72</v>
      </c>
      <c r="F74" s="150">
        <v>250</v>
      </c>
      <c r="G74" s="150">
        <f>D74*F74</f>
        <v>7000000</v>
      </c>
    </row>
    <row r="75" spans="2:7" ht="12.75" customHeight="1">
      <c r="B75" s="184"/>
      <c r="C75" s="166"/>
      <c r="D75" s="167"/>
      <c r="E75" s="166"/>
      <c r="F75" s="168"/>
      <c r="G75" s="168"/>
    </row>
    <row r="76" spans="2:7" ht="12.75" customHeight="1">
      <c r="B76" s="133" t="s">
        <v>57</v>
      </c>
      <c r="C76" s="91"/>
      <c r="D76" s="93"/>
      <c r="E76" s="91"/>
      <c r="F76" s="94"/>
      <c r="G76" s="94"/>
    </row>
    <row r="77" spans="2:7" ht="12.75" customHeight="1">
      <c r="B77" s="165" t="s">
        <v>86</v>
      </c>
      <c r="C77" s="166" t="s">
        <v>87</v>
      </c>
      <c r="D77" s="167">
        <v>50</v>
      </c>
      <c r="E77" s="166" t="s">
        <v>72</v>
      </c>
      <c r="F77" s="168">
        <v>8000</v>
      </c>
      <c r="G77" s="168">
        <f t="shared" ref="G77:G101" si="6">D77*F77</f>
        <v>400000</v>
      </c>
    </row>
    <row r="78" spans="2:7" ht="12.75" customHeight="1">
      <c r="B78" s="165" t="s">
        <v>88</v>
      </c>
      <c r="C78" s="166" t="s">
        <v>84</v>
      </c>
      <c r="D78" s="167">
        <v>250</v>
      </c>
      <c r="E78" s="166" t="s">
        <v>72</v>
      </c>
      <c r="F78" s="168">
        <f>897*1.19</f>
        <v>1067.43</v>
      </c>
      <c r="G78" s="168">
        <f t="shared" si="6"/>
        <v>266857.5</v>
      </c>
    </row>
    <row r="79" spans="2:7" ht="12.75" customHeight="1">
      <c r="B79" s="165" t="s">
        <v>89</v>
      </c>
      <c r="C79" s="166" t="s">
        <v>84</v>
      </c>
      <c r="D79" s="167">
        <v>200</v>
      </c>
      <c r="E79" s="166" t="s">
        <v>90</v>
      </c>
      <c r="F79" s="168">
        <f>2020*1.19</f>
        <v>2403.7999999999997</v>
      </c>
      <c r="G79" s="168">
        <f t="shared" si="6"/>
        <v>480759.99999999994</v>
      </c>
    </row>
    <row r="80" spans="2:7" ht="12.75" customHeight="1">
      <c r="B80" s="165" t="s">
        <v>91</v>
      </c>
      <c r="C80" s="166" t="s">
        <v>92</v>
      </c>
      <c r="D80" s="167">
        <v>1300</v>
      </c>
      <c r="E80" s="166" t="s">
        <v>76</v>
      </c>
      <c r="F80" s="168">
        <f>1495*1.19</f>
        <v>1779.05</v>
      </c>
      <c r="G80" s="168">
        <f t="shared" si="6"/>
        <v>2312765</v>
      </c>
    </row>
    <row r="81" spans="2:7" ht="12.75" customHeight="1">
      <c r="B81" s="165" t="s">
        <v>93</v>
      </c>
      <c r="C81" s="166" t="s">
        <v>84</v>
      </c>
      <c r="D81" s="167">
        <v>450</v>
      </c>
      <c r="E81" s="166" t="s">
        <v>76</v>
      </c>
      <c r="F81" s="168">
        <f>666*1.19</f>
        <v>792.54</v>
      </c>
      <c r="G81" s="168">
        <f t="shared" si="6"/>
        <v>356643</v>
      </c>
    </row>
    <row r="82" spans="2:7" ht="12.75" customHeight="1">
      <c r="B82" s="165" t="s">
        <v>94</v>
      </c>
      <c r="C82" s="166" t="s">
        <v>84</v>
      </c>
      <c r="D82" s="167">
        <v>100</v>
      </c>
      <c r="E82" s="166" t="s">
        <v>76</v>
      </c>
      <c r="F82" s="168">
        <f>598*1.19</f>
        <v>711.62</v>
      </c>
      <c r="G82" s="168">
        <f t="shared" si="6"/>
        <v>71162</v>
      </c>
    </row>
    <row r="83" spans="2:7" ht="12.75" customHeight="1">
      <c r="B83" s="165" t="s">
        <v>95</v>
      </c>
      <c r="C83" s="166" t="s">
        <v>84</v>
      </c>
      <c r="D83" s="167">
        <v>100</v>
      </c>
      <c r="E83" s="166" t="s">
        <v>76</v>
      </c>
      <c r="F83" s="168">
        <f>1610*1.19</f>
        <v>1915.8999999999999</v>
      </c>
      <c r="G83" s="168">
        <f t="shared" si="6"/>
        <v>191590</v>
      </c>
    </row>
    <row r="84" spans="2:7" ht="12.75" customHeight="1">
      <c r="B84" s="165" t="s">
        <v>96</v>
      </c>
      <c r="C84" s="166" t="s">
        <v>84</v>
      </c>
      <c r="D84" s="167">
        <v>100</v>
      </c>
      <c r="E84" s="166" t="s">
        <v>76</v>
      </c>
      <c r="F84" s="168">
        <f>1610*1.19</f>
        <v>1915.8999999999999</v>
      </c>
      <c r="G84" s="168">
        <f t="shared" si="6"/>
        <v>191590</v>
      </c>
    </row>
    <row r="85" spans="2:7" ht="12.75" customHeight="1">
      <c r="B85" s="165"/>
      <c r="C85" s="166"/>
      <c r="D85" s="167"/>
      <c r="E85" s="166"/>
      <c r="F85" s="168"/>
      <c r="G85" s="168"/>
    </row>
    <row r="86" spans="2:7" ht="12.75" customHeight="1">
      <c r="B86" s="132" t="s">
        <v>133</v>
      </c>
      <c r="C86" s="91"/>
      <c r="D86" s="93"/>
      <c r="E86" s="91"/>
      <c r="F86" s="94"/>
      <c r="G86" s="94"/>
    </row>
    <row r="87" spans="2:7" ht="12.75" customHeight="1">
      <c r="B87" s="185" t="s">
        <v>97</v>
      </c>
      <c r="C87" s="91"/>
      <c r="D87" s="93"/>
      <c r="E87" s="91"/>
      <c r="F87" s="94"/>
      <c r="G87" s="94"/>
    </row>
    <row r="88" spans="2:7" ht="12.75" customHeight="1">
      <c r="B88" s="222" t="s">
        <v>107</v>
      </c>
      <c r="C88" s="223" t="s">
        <v>84</v>
      </c>
      <c r="D88" s="224">
        <v>0.5</v>
      </c>
      <c r="E88" s="223" t="s">
        <v>76</v>
      </c>
      <c r="F88" s="225">
        <f>37699*1.19*5</f>
        <v>224309.05</v>
      </c>
      <c r="G88" s="225">
        <f t="shared" si="6"/>
        <v>112154.52499999999</v>
      </c>
    </row>
    <row r="89" spans="2:7" ht="12.75" customHeight="1">
      <c r="B89" s="222" t="s">
        <v>108</v>
      </c>
      <c r="C89" s="223" t="s">
        <v>84</v>
      </c>
      <c r="D89" s="224">
        <v>2</v>
      </c>
      <c r="E89" s="223" t="s">
        <v>76</v>
      </c>
      <c r="F89" s="225">
        <f>17604*1.19*5</f>
        <v>104743.79999999999</v>
      </c>
      <c r="G89" s="225">
        <f>D89*F89</f>
        <v>209487.59999999998</v>
      </c>
    </row>
    <row r="90" spans="2:7" ht="12.75" customHeight="1">
      <c r="B90" s="138" t="s">
        <v>109</v>
      </c>
      <c r="C90" s="136" t="s">
        <v>102</v>
      </c>
      <c r="D90" s="139">
        <v>1</v>
      </c>
      <c r="E90" s="137" t="s">
        <v>154</v>
      </c>
      <c r="F90" s="215">
        <f>85452*1.19</f>
        <v>101687.87999999999</v>
      </c>
      <c r="G90" s="225">
        <f>D90*F90</f>
        <v>101687.87999999999</v>
      </c>
    </row>
    <row r="91" spans="2:7" ht="12.75" customHeight="1">
      <c r="B91" s="221" t="s">
        <v>110</v>
      </c>
      <c r="C91" s="217" t="s">
        <v>102</v>
      </c>
      <c r="D91" s="218">
        <f>6</f>
        <v>6</v>
      </c>
      <c r="E91" s="216" t="s">
        <v>155</v>
      </c>
      <c r="F91" s="219">
        <f>23248*1.19</f>
        <v>27665.119999999999</v>
      </c>
      <c r="G91" s="225">
        <f t="shared" ref="G91:G93" si="7">D91*F91</f>
        <v>165990.72</v>
      </c>
    </row>
    <row r="92" spans="2:7" ht="12.75" customHeight="1">
      <c r="B92" s="221" t="s">
        <v>111</v>
      </c>
      <c r="C92" s="216" t="s">
        <v>102</v>
      </c>
      <c r="D92" s="218">
        <v>2</v>
      </c>
      <c r="E92" s="216" t="s">
        <v>155</v>
      </c>
      <c r="F92" s="220">
        <f>81556*1.19</f>
        <v>97051.64</v>
      </c>
      <c r="G92" s="225">
        <f t="shared" si="7"/>
        <v>194103.28</v>
      </c>
    </row>
    <row r="93" spans="2:7" ht="12.75" customHeight="1">
      <c r="B93" s="221" t="s">
        <v>112</v>
      </c>
      <c r="C93" s="216" t="s">
        <v>101</v>
      </c>
      <c r="D93" s="218">
        <v>2</v>
      </c>
      <c r="E93" s="216" t="s">
        <v>155</v>
      </c>
      <c r="F93" s="220">
        <f>66600*1.19</f>
        <v>79254</v>
      </c>
      <c r="G93" s="225">
        <f t="shared" si="7"/>
        <v>158508</v>
      </c>
    </row>
    <row r="94" spans="2:7" ht="12.75" customHeight="1">
      <c r="B94" s="186"/>
      <c r="C94" s="187"/>
      <c r="D94" s="188"/>
      <c r="E94" s="187"/>
      <c r="F94" s="189"/>
      <c r="G94" s="189"/>
    </row>
    <row r="95" spans="2:7" ht="12.75" customHeight="1">
      <c r="C95" s="187"/>
      <c r="D95" s="188"/>
      <c r="E95" s="187"/>
      <c r="F95" s="189"/>
      <c r="G95" s="189"/>
    </row>
    <row r="96" spans="2:7" ht="12.75" customHeight="1">
      <c r="B96" s="186" t="s">
        <v>134</v>
      </c>
      <c r="C96" s="187"/>
      <c r="D96" s="188"/>
      <c r="E96" s="187"/>
      <c r="F96" s="189"/>
      <c r="G96" s="189"/>
    </row>
    <row r="97" spans="2:7" ht="12.75" customHeight="1">
      <c r="B97" s="222" t="s">
        <v>113</v>
      </c>
      <c r="C97" s="223" t="s">
        <v>84</v>
      </c>
      <c r="D97" s="224">
        <v>0.5</v>
      </c>
      <c r="E97" s="223" t="s">
        <v>72</v>
      </c>
      <c r="F97" s="225">
        <f>68153*1.19</f>
        <v>81102.069999999992</v>
      </c>
      <c r="G97" s="225">
        <f t="shared" si="6"/>
        <v>40551.034999999996</v>
      </c>
    </row>
    <row r="98" spans="2:7" ht="12.75" customHeight="1">
      <c r="B98" s="222" t="s">
        <v>115</v>
      </c>
      <c r="C98" s="223" t="s">
        <v>84</v>
      </c>
      <c r="D98" s="224">
        <v>1</v>
      </c>
      <c r="E98" s="223" t="s">
        <v>135</v>
      </c>
      <c r="F98" s="225">
        <f>146901*1.19</f>
        <v>174812.19</v>
      </c>
      <c r="G98" s="225">
        <f t="shared" si="6"/>
        <v>174812.19</v>
      </c>
    </row>
    <row r="99" spans="2:7" ht="12.75" customHeight="1">
      <c r="B99" s="222" t="s">
        <v>136</v>
      </c>
      <c r="C99" s="223" t="s">
        <v>84</v>
      </c>
      <c r="D99" s="224">
        <v>1</v>
      </c>
      <c r="E99" s="223" t="s">
        <v>137</v>
      </c>
      <c r="F99" s="225">
        <f>87311*1.19</f>
        <v>103900.09</v>
      </c>
      <c r="G99" s="225">
        <f t="shared" si="6"/>
        <v>103900.09</v>
      </c>
    </row>
    <row r="100" spans="2:7" ht="12.75" customHeight="1">
      <c r="B100" s="222" t="s">
        <v>116</v>
      </c>
      <c r="C100" s="223" t="s">
        <v>101</v>
      </c>
      <c r="D100" s="224">
        <v>5</v>
      </c>
      <c r="E100" s="223" t="s">
        <v>152</v>
      </c>
      <c r="F100" s="225">
        <f>1728*1.19</f>
        <v>2056.3199999999997</v>
      </c>
      <c r="G100" s="225">
        <f t="shared" si="6"/>
        <v>10281.599999999999</v>
      </c>
    </row>
    <row r="101" spans="2:7" ht="12.75" customHeight="1">
      <c r="B101" s="138" t="s">
        <v>114</v>
      </c>
      <c r="C101" s="223" t="s">
        <v>84</v>
      </c>
      <c r="D101" s="224">
        <v>1</v>
      </c>
      <c r="E101" s="223" t="s">
        <v>138</v>
      </c>
      <c r="F101" s="225">
        <f>33929*1.19</f>
        <v>40375.509999999995</v>
      </c>
      <c r="G101" s="225">
        <f t="shared" si="6"/>
        <v>40375.509999999995</v>
      </c>
    </row>
    <row r="102" spans="2:7" ht="12.75" customHeight="1">
      <c r="B102" s="190"/>
      <c r="C102" s="191"/>
      <c r="D102" s="192"/>
      <c r="E102" s="193"/>
      <c r="F102" s="194"/>
      <c r="G102" s="194"/>
    </row>
    <row r="103" spans="2:7" ht="12.75" customHeight="1">
      <c r="B103" s="133" t="s">
        <v>139</v>
      </c>
      <c r="C103" s="91"/>
      <c r="D103" s="93"/>
      <c r="E103" s="91"/>
      <c r="F103" s="94"/>
      <c r="G103" s="94"/>
    </row>
    <row r="104" spans="2:7" ht="12.75" customHeight="1">
      <c r="B104" s="195" t="s">
        <v>117</v>
      </c>
      <c r="C104" s="196" t="s">
        <v>140</v>
      </c>
      <c r="D104" s="197">
        <f>2/2</f>
        <v>1</v>
      </c>
      <c r="E104" s="193" t="s">
        <v>98</v>
      </c>
      <c r="F104" s="197">
        <f>56000*1.19</f>
        <v>66640</v>
      </c>
      <c r="G104" s="197">
        <f>F104*D104</f>
        <v>66640</v>
      </c>
    </row>
    <row r="105" spans="2:7" ht="12.75" customHeight="1">
      <c r="B105" s="96"/>
      <c r="C105" s="91"/>
      <c r="D105" s="93"/>
      <c r="E105" s="91"/>
      <c r="F105" s="94"/>
      <c r="G105" s="94"/>
    </row>
    <row r="106" spans="2:7" ht="13.5" customHeight="1">
      <c r="B106" s="118" t="s">
        <v>30</v>
      </c>
      <c r="C106" s="119"/>
      <c r="D106" s="119"/>
      <c r="E106" s="119"/>
      <c r="F106" s="120"/>
      <c r="G106" s="128">
        <f>SUM(G59:G105)</f>
        <v>21866284.061507881</v>
      </c>
    </row>
    <row r="107" spans="2:7" ht="12" customHeight="1">
      <c r="B107" s="113"/>
      <c r="C107" s="114"/>
      <c r="D107" s="114"/>
      <c r="E107" s="115"/>
      <c r="F107" s="116"/>
      <c r="G107" s="117"/>
    </row>
    <row r="108" spans="2:7" ht="12" customHeight="1">
      <c r="B108" s="28" t="s">
        <v>31</v>
      </c>
      <c r="C108" s="29"/>
      <c r="D108" s="30"/>
      <c r="E108" s="30"/>
      <c r="F108" s="31"/>
      <c r="G108" s="103"/>
    </row>
    <row r="109" spans="2:7" ht="24" customHeight="1">
      <c r="B109" s="112" t="s">
        <v>32</v>
      </c>
      <c r="C109" s="92" t="s">
        <v>28</v>
      </c>
      <c r="D109" s="92" t="s">
        <v>29</v>
      </c>
      <c r="E109" s="112" t="s">
        <v>17</v>
      </c>
      <c r="F109" s="92" t="s">
        <v>18</v>
      </c>
      <c r="G109" s="112" t="s">
        <v>19</v>
      </c>
    </row>
    <row r="110" spans="2:7" ht="16.5" customHeight="1">
      <c r="B110" s="198" t="s">
        <v>141</v>
      </c>
      <c r="C110" s="198" t="s">
        <v>142</v>
      </c>
      <c r="D110" s="198">
        <v>10</v>
      </c>
      <c r="E110" s="198" t="s">
        <v>167</v>
      </c>
      <c r="F110" s="199">
        <v>100000</v>
      </c>
      <c r="G110" s="199">
        <f t="shared" ref="G110" si="8">F110*D110</f>
        <v>1000000</v>
      </c>
    </row>
    <row r="111" spans="2:7" ht="13.5" customHeight="1">
      <c r="B111" s="45" t="s">
        <v>33</v>
      </c>
      <c r="C111" s="46"/>
      <c r="D111" s="46"/>
      <c r="E111" s="111"/>
      <c r="F111" s="47"/>
      <c r="G111" s="129">
        <f>SUM(G110)</f>
        <v>1000000</v>
      </c>
    </row>
    <row r="112" spans="2:7" ht="12" customHeight="1">
      <c r="B112" s="57"/>
      <c r="C112" s="57"/>
      <c r="D112" s="57"/>
      <c r="E112" s="57"/>
      <c r="F112" s="58"/>
      <c r="G112" s="106"/>
    </row>
    <row r="113" spans="2:9" ht="12" customHeight="1">
      <c r="B113" s="59" t="s">
        <v>34</v>
      </c>
      <c r="C113" s="60"/>
      <c r="D113" s="60"/>
      <c r="E113" s="60"/>
      <c r="F113" s="60"/>
      <c r="G113" s="61">
        <f>G43+G48+G55+G106+G111</f>
        <v>56635364.061507881</v>
      </c>
    </row>
    <row r="114" spans="2:9" ht="12" customHeight="1">
      <c r="B114" s="62" t="s">
        <v>35</v>
      </c>
      <c r="C114" s="49"/>
      <c r="D114" s="49"/>
      <c r="E114" s="49"/>
      <c r="F114" s="49"/>
      <c r="G114" s="63">
        <f>G113*0.05</f>
        <v>2831768.203075394</v>
      </c>
      <c r="I114" s="208"/>
    </row>
    <row r="115" spans="2:9" ht="12" customHeight="1">
      <c r="B115" s="64" t="s">
        <v>36</v>
      </c>
      <c r="C115" s="48"/>
      <c r="D115" s="48"/>
      <c r="E115" s="48"/>
      <c r="F115" s="48"/>
      <c r="G115" s="65">
        <f>G114+G113</f>
        <v>59467132.264583275</v>
      </c>
    </row>
    <row r="116" spans="2:9" ht="12" customHeight="1">
      <c r="B116" s="62" t="s">
        <v>37</v>
      </c>
      <c r="C116" s="49"/>
      <c r="D116" s="49"/>
      <c r="E116" s="49"/>
      <c r="F116" s="49"/>
      <c r="G116" s="63">
        <f>G12</f>
        <v>72800000</v>
      </c>
    </row>
    <row r="117" spans="2:9" ht="12" customHeight="1">
      <c r="B117" s="66" t="s">
        <v>38</v>
      </c>
      <c r="C117" s="67"/>
      <c r="D117" s="67"/>
      <c r="E117" s="67"/>
      <c r="F117" s="67"/>
      <c r="G117" s="61">
        <f>G116-G115</f>
        <v>13332867.735416725</v>
      </c>
    </row>
    <row r="118" spans="2:9" ht="12" customHeight="1">
      <c r="B118" s="55" t="s">
        <v>39</v>
      </c>
      <c r="C118" s="56"/>
      <c r="D118" s="56"/>
      <c r="E118" s="56"/>
      <c r="F118" s="56"/>
      <c r="G118" s="107"/>
    </row>
    <row r="119" spans="2:9" ht="12.75" customHeight="1" thickBot="1">
      <c r="B119" s="68"/>
      <c r="C119" s="56"/>
      <c r="D119" s="56"/>
      <c r="E119" s="56"/>
      <c r="F119" s="56"/>
      <c r="G119" s="107"/>
    </row>
    <row r="120" spans="2:9" ht="12" customHeight="1">
      <c r="B120" s="79" t="s">
        <v>40</v>
      </c>
      <c r="C120" s="80"/>
      <c r="D120" s="80"/>
      <c r="E120" s="80"/>
      <c r="F120" s="81"/>
      <c r="G120" s="107"/>
    </row>
    <row r="121" spans="2:9" ht="12" customHeight="1">
      <c r="B121" s="82" t="s">
        <v>41</v>
      </c>
      <c r="C121" s="54"/>
      <c r="D121" s="54"/>
      <c r="E121" s="54"/>
      <c r="F121" s="83"/>
      <c r="G121" s="107"/>
    </row>
    <row r="122" spans="2:9" ht="12" customHeight="1">
      <c r="B122" s="82" t="s">
        <v>42</v>
      </c>
      <c r="C122" s="54"/>
      <c r="D122" s="54"/>
      <c r="E122" s="54"/>
      <c r="F122" s="83"/>
      <c r="G122" s="107"/>
    </row>
    <row r="123" spans="2:9" ht="12" customHeight="1">
      <c r="B123" s="82" t="s">
        <v>43</v>
      </c>
      <c r="C123" s="54"/>
      <c r="D123" s="54"/>
      <c r="E123" s="54"/>
      <c r="F123" s="83"/>
      <c r="G123" s="107"/>
    </row>
    <row r="124" spans="2:9" ht="12" customHeight="1">
      <c r="B124" s="82" t="s">
        <v>44</v>
      </c>
      <c r="C124" s="54"/>
      <c r="D124" s="54"/>
      <c r="E124" s="54"/>
      <c r="F124" s="83"/>
      <c r="G124" s="107"/>
    </row>
    <row r="125" spans="2:9" ht="12" customHeight="1">
      <c r="B125" s="82" t="s">
        <v>45</v>
      </c>
      <c r="C125" s="54"/>
      <c r="D125" s="54"/>
      <c r="E125" s="54"/>
      <c r="F125" s="83"/>
      <c r="G125" s="107"/>
    </row>
    <row r="126" spans="2:9" ht="12.75" customHeight="1" thickBot="1">
      <c r="B126" s="84" t="s">
        <v>46</v>
      </c>
      <c r="C126" s="85"/>
      <c r="D126" s="85"/>
      <c r="E126" s="85"/>
      <c r="F126" s="86"/>
      <c r="G126" s="107"/>
    </row>
    <row r="127" spans="2:9" ht="12.75" customHeight="1">
      <c r="B127" s="77"/>
      <c r="C127" s="54"/>
      <c r="D127" s="54"/>
      <c r="E127" s="54"/>
      <c r="F127" s="54"/>
      <c r="G127" s="107"/>
    </row>
    <row r="128" spans="2:9" ht="15" customHeight="1" thickBot="1">
      <c r="B128" s="249" t="s">
        <v>47</v>
      </c>
      <c r="C128" s="250"/>
      <c r="D128" s="76"/>
      <c r="E128" s="50"/>
      <c r="F128" s="50"/>
      <c r="G128" s="107"/>
    </row>
    <row r="129" spans="2:7" ht="12" customHeight="1">
      <c r="B129" s="70" t="s">
        <v>32</v>
      </c>
      <c r="C129" s="130" t="s">
        <v>143</v>
      </c>
      <c r="D129" s="131" t="s">
        <v>48</v>
      </c>
      <c r="E129" s="50"/>
      <c r="F129" s="50"/>
      <c r="G129" s="107"/>
    </row>
    <row r="130" spans="2:7" ht="12" customHeight="1">
      <c r="B130" s="71" t="s">
        <v>49</v>
      </c>
      <c r="C130" s="51">
        <f>G43</f>
        <v>31401000</v>
      </c>
      <c r="D130" s="72">
        <f>(C130/C136)</f>
        <v>0.52803958765473269</v>
      </c>
      <c r="E130" s="50"/>
      <c r="F130" s="50"/>
      <c r="G130" s="107"/>
    </row>
    <row r="131" spans="2:7" ht="12" customHeight="1">
      <c r="B131" s="71" t="s">
        <v>50</v>
      </c>
      <c r="C131" s="51">
        <f>G48</f>
        <v>0</v>
      </c>
      <c r="D131" s="72">
        <v>0</v>
      </c>
      <c r="E131" s="50"/>
      <c r="F131" s="50"/>
      <c r="G131" s="107"/>
    </row>
    <row r="132" spans="2:7" ht="12" customHeight="1">
      <c r="B132" s="71" t="s">
        <v>51</v>
      </c>
      <c r="C132" s="51">
        <f>G55</f>
        <v>2368080</v>
      </c>
      <c r="D132" s="72">
        <f>(C132/C136)</f>
        <v>3.982166130802902E-2</v>
      </c>
      <c r="E132" s="50"/>
      <c r="F132" s="50"/>
      <c r="G132" s="107"/>
    </row>
    <row r="133" spans="2:7" ht="12" customHeight="1">
      <c r="B133" s="71" t="s">
        <v>27</v>
      </c>
      <c r="C133" s="51">
        <f>G106</f>
        <v>21866284.061507881</v>
      </c>
      <c r="D133" s="72">
        <f>(C133/C136)</f>
        <v>0.36770369158242966</v>
      </c>
      <c r="E133" s="50"/>
      <c r="F133" s="50"/>
      <c r="G133" s="107"/>
    </row>
    <row r="134" spans="2:7" ht="12" customHeight="1">
      <c r="B134" s="71" t="s">
        <v>52</v>
      </c>
      <c r="C134" s="52">
        <f>G111</f>
        <v>1000000</v>
      </c>
      <c r="D134" s="72">
        <f>(C134/C136)</f>
        <v>1.6816011835761046E-2</v>
      </c>
      <c r="E134" s="53"/>
      <c r="F134" s="53"/>
      <c r="G134" s="107"/>
    </row>
    <row r="135" spans="2:7" ht="12" customHeight="1">
      <c r="B135" s="71" t="s">
        <v>53</v>
      </c>
      <c r="C135" s="52">
        <f>G114</f>
        <v>2831768.203075394</v>
      </c>
      <c r="D135" s="72">
        <f>(C135/C136)</f>
        <v>4.7619047619047616E-2</v>
      </c>
      <c r="E135" s="53"/>
      <c r="F135" s="53"/>
      <c r="G135" s="107"/>
    </row>
    <row r="136" spans="2:7" ht="12.75" customHeight="1" thickBot="1">
      <c r="B136" s="73" t="s">
        <v>54</v>
      </c>
      <c r="C136" s="74">
        <f>SUM(C130:C135)</f>
        <v>59467132.264583275</v>
      </c>
      <c r="D136" s="75">
        <f>SUM(D130:D135)</f>
        <v>1</v>
      </c>
      <c r="E136" s="53"/>
      <c r="F136" s="53"/>
      <c r="G136" s="107"/>
    </row>
    <row r="137" spans="2:7" ht="12" customHeight="1">
      <c r="B137" s="68"/>
      <c r="C137" s="56"/>
      <c r="D137" s="56"/>
      <c r="E137" s="56"/>
      <c r="F137" s="56"/>
      <c r="G137" s="107"/>
    </row>
    <row r="138" spans="2:7" ht="12.75" customHeight="1" thickBot="1">
      <c r="B138" s="69"/>
      <c r="C138" s="56"/>
      <c r="D138" s="56"/>
      <c r="E138" s="56"/>
      <c r="F138" s="56"/>
      <c r="G138" s="107"/>
    </row>
    <row r="139" spans="2:7" ht="12" customHeight="1" thickBot="1">
      <c r="B139" s="246" t="s">
        <v>63</v>
      </c>
      <c r="C139" s="247"/>
      <c r="D139" s="247"/>
      <c r="E139" s="248"/>
      <c r="F139" s="53"/>
      <c r="G139" s="107"/>
    </row>
    <row r="140" spans="2:7" ht="12" customHeight="1">
      <c r="B140" s="88" t="s">
        <v>61</v>
      </c>
      <c r="C140" s="122">
        <v>500000</v>
      </c>
      <c r="D140" s="122">
        <v>560000</v>
      </c>
      <c r="E140" s="122">
        <v>650000</v>
      </c>
      <c r="F140" s="87"/>
      <c r="G140" s="108"/>
    </row>
    <row r="141" spans="2:7" ht="12.75" customHeight="1" thickBot="1">
      <c r="B141" s="73" t="s">
        <v>62</v>
      </c>
      <c r="C141" s="226">
        <f>(G115/C140)</f>
        <v>118.93426452916655</v>
      </c>
      <c r="D141" s="226">
        <f>(G115/D140)</f>
        <v>106.19130761532728</v>
      </c>
      <c r="E141" s="227">
        <f>(G115/E140)</f>
        <v>91.487895791666574</v>
      </c>
      <c r="F141" s="87"/>
      <c r="G141" s="108"/>
    </row>
    <row r="142" spans="2:7" ht="15.6" customHeight="1">
      <c r="B142" s="78" t="s">
        <v>55</v>
      </c>
      <c r="C142" s="54"/>
      <c r="D142" s="54"/>
      <c r="E142" s="54"/>
      <c r="F142" s="54"/>
      <c r="G142" s="109"/>
    </row>
  </sheetData>
  <mergeCells count="9">
    <mergeCell ref="E9:F9"/>
    <mergeCell ref="E14:F14"/>
    <mergeCell ref="E15:F15"/>
    <mergeCell ref="B17:G17"/>
    <mergeCell ref="B139:E139"/>
    <mergeCell ref="B128:C128"/>
    <mergeCell ref="E13:F13"/>
    <mergeCell ref="E11:F11"/>
    <mergeCell ref="E10:F10"/>
  </mergeCells>
  <phoneticPr fontId="32" type="noConversion"/>
  <pageMargins left="0.25" right="0.25" top="0.14000000000000001" bottom="1.43" header="0.3" footer="0.3"/>
  <pageSetup paperSize="5" scale="99" fitToHeight="0" orientation="portrait" r:id="rId1"/>
  <headerFooter>
    <oddFooter>&amp;C&amp;"Helvetica Neue,Regular"&amp;12&amp;K000000&amp;P</oddFooter>
  </headerFooter>
  <rowBreaks count="1" manualBreakCount="1">
    <brk id="5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O142"/>
  <sheetViews>
    <sheetView topLeftCell="B16" zoomScale="110" zoomScaleNormal="110" workbookViewId="0">
      <selection activeCell="C9" sqref="C9"/>
    </sheetView>
  </sheetViews>
  <sheetFormatPr baseColWidth="10" defaultColWidth="10.85546875" defaultRowHeight="11.25" customHeight="1"/>
  <cols>
    <col min="1" max="1" width="0" hidden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5.85546875" style="1" customWidth="1"/>
    <col min="7" max="7" width="17.140625" style="110" customWidth="1"/>
    <col min="8" max="8" width="14.140625" style="1" customWidth="1"/>
    <col min="9" max="249" width="10.85546875" style="1" customWidth="1"/>
  </cols>
  <sheetData>
    <row r="1" spans="2:10" ht="15" customHeight="1">
      <c r="B1" s="2"/>
      <c r="C1" s="2"/>
      <c r="D1" s="2"/>
      <c r="E1" s="2"/>
      <c r="F1" s="2"/>
      <c r="G1" s="97"/>
    </row>
    <row r="2" spans="2:10" ht="15" customHeight="1">
      <c r="B2" s="2"/>
      <c r="C2" s="2"/>
      <c r="D2" s="2"/>
      <c r="E2" s="2"/>
      <c r="F2" s="2"/>
      <c r="G2" s="97"/>
    </row>
    <row r="3" spans="2:10" ht="15" customHeight="1">
      <c r="B3" s="2"/>
      <c r="C3" s="2"/>
      <c r="D3" s="2"/>
      <c r="E3" s="2"/>
      <c r="F3" s="2"/>
      <c r="G3" s="97"/>
    </row>
    <row r="4" spans="2:10" ht="15" customHeight="1">
      <c r="B4" s="2"/>
      <c r="C4" s="2"/>
      <c r="D4" s="2"/>
      <c r="E4" s="2"/>
      <c r="F4" s="2"/>
      <c r="G4" s="97"/>
    </row>
    <row r="5" spans="2:10" ht="15" customHeight="1">
      <c r="B5" s="2"/>
      <c r="C5" s="2"/>
      <c r="D5" s="2"/>
      <c r="E5" s="2"/>
      <c r="F5" s="2"/>
      <c r="G5" s="97"/>
    </row>
    <row r="6" spans="2:10" ht="15" customHeight="1">
      <c r="B6" s="2"/>
      <c r="C6" s="2"/>
      <c r="D6" s="2"/>
      <c r="E6" s="2"/>
      <c r="F6" s="2"/>
      <c r="G6" s="97"/>
    </row>
    <row r="7" spans="2:10" ht="15" customHeight="1">
      <c r="B7" s="2"/>
      <c r="C7" s="2"/>
      <c r="D7" s="2"/>
      <c r="E7" s="2"/>
      <c r="F7" s="2"/>
      <c r="G7" s="97"/>
    </row>
    <row r="8" spans="2:10" ht="15" customHeight="1">
      <c r="B8" s="3"/>
      <c r="C8" s="4"/>
      <c r="D8" s="2"/>
      <c r="E8" s="4"/>
      <c r="F8" s="4"/>
      <c r="G8" s="98"/>
    </row>
    <row r="9" spans="2:10" ht="18.75" customHeight="1">
      <c r="B9" s="5" t="s">
        <v>0</v>
      </c>
      <c r="C9" s="255" t="s">
        <v>99</v>
      </c>
      <c r="D9" s="6"/>
      <c r="E9" s="238" t="s">
        <v>105</v>
      </c>
      <c r="F9" s="239"/>
      <c r="G9" s="209">
        <v>560000</v>
      </c>
    </row>
    <row r="10" spans="2:10" ht="18" customHeight="1">
      <c r="B10" s="229" t="s">
        <v>1</v>
      </c>
      <c r="C10" s="230" t="s">
        <v>118</v>
      </c>
      <c r="D10" s="6"/>
      <c r="E10" s="251" t="s">
        <v>2</v>
      </c>
      <c r="F10" s="252"/>
      <c r="G10" s="231" t="s">
        <v>148</v>
      </c>
    </row>
    <row r="11" spans="2:10" ht="18" customHeight="1">
      <c r="B11" s="229" t="s">
        <v>3</v>
      </c>
      <c r="C11" s="232" t="s">
        <v>100</v>
      </c>
      <c r="D11" s="6"/>
      <c r="E11" s="251" t="s">
        <v>60</v>
      </c>
      <c r="F11" s="252"/>
      <c r="G11" s="233">
        <v>130</v>
      </c>
      <c r="I11" s="152"/>
      <c r="J11" s="152"/>
    </row>
    <row r="12" spans="2:10" ht="11.25" customHeight="1">
      <c r="B12" s="229" t="s">
        <v>4</v>
      </c>
      <c r="C12" s="213" t="s">
        <v>64</v>
      </c>
      <c r="D12" s="6"/>
      <c r="E12" s="234" t="s">
        <v>5</v>
      </c>
      <c r="F12" s="235"/>
      <c r="G12" s="236">
        <f>G9*G11</f>
        <v>72800000</v>
      </c>
    </row>
    <row r="13" spans="2:10" ht="11.25" customHeight="1">
      <c r="B13" s="229" t="s">
        <v>6</v>
      </c>
      <c r="C13" s="213" t="s">
        <v>106</v>
      </c>
      <c r="D13" s="6"/>
      <c r="E13" s="251" t="s">
        <v>7</v>
      </c>
      <c r="F13" s="252"/>
      <c r="G13" s="231" t="s">
        <v>119</v>
      </c>
    </row>
    <row r="14" spans="2:10" ht="13.5" customHeight="1">
      <c r="B14" s="229" t="s">
        <v>8</v>
      </c>
      <c r="C14" s="213" t="s">
        <v>106</v>
      </c>
      <c r="D14" s="6"/>
      <c r="E14" s="251" t="s">
        <v>9</v>
      </c>
      <c r="F14" s="252"/>
      <c r="G14" s="232" t="s">
        <v>148</v>
      </c>
    </row>
    <row r="15" spans="2:10" ht="25.5" customHeight="1">
      <c r="B15" s="229" t="s">
        <v>10</v>
      </c>
      <c r="C15" s="237">
        <v>44713</v>
      </c>
      <c r="D15" s="6"/>
      <c r="E15" s="253" t="s">
        <v>11</v>
      </c>
      <c r="F15" s="254"/>
      <c r="G15" s="232" t="s">
        <v>153</v>
      </c>
    </row>
    <row r="16" spans="2:10" ht="12" customHeight="1">
      <c r="B16" s="12"/>
      <c r="C16" s="13"/>
      <c r="D16" s="14"/>
      <c r="E16" s="15"/>
      <c r="F16" s="15"/>
      <c r="G16" s="99"/>
    </row>
    <row r="17" spans="2:7" ht="12" customHeight="1">
      <c r="B17" s="244" t="s">
        <v>12</v>
      </c>
      <c r="C17" s="245"/>
      <c r="D17" s="245"/>
      <c r="E17" s="245"/>
      <c r="F17" s="245"/>
      <c r="G17" s="245"/>
    </row>
    <row r="18" spans="2:7" ht="12" customHeight="1">
      <c r="B18" s="16"/>
      <c r="C18" s="17"/>
      <c r="D18" s="17"/>
      <c r="E18" s="17"/>
      <c r="F18" s="18"/>
      <c r="G18" s="100"/>
    </row>
    <row r="19" spans="2:7" ht="12" customHeight="1">
      <c r="B19" s="19" t="s">
        <v>13</v>
      </c>
      <c r="C19" s="20"/>
      <c r="D19" s="21"/>
      <c r="E19" s="21"/>
      <c r="F19" s="21"/>
      <c r="G19" s="101"/>
    </row>
    <row r="20" spans="2:7" ht="24" customHeight="1"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2:7" ht="12.75" customHeight="1">
      <c r="B21" s="228"/>
      <c r="C21" s="23"/>
      <c r="D21" s="90"/>
      <c r="E21" s="23"/>
      <c r="F21" s="123"/>
      <c r="G21" s="123"/>
    </row>
    <row r="22" spans="2:7" ht="12.75" customHeight="1">
      <c r="B22" s="135" t="s">
        <v>120</v>
      </c>
      <c r="C22" s="23"/>
      <c r="D22" s="90"/>
      <c r="E22" s="23"/>
      <c r="F22" s="123"/>
      <c r="G22" s="123"/>
    </row>
    <row r="23" spans="2:7" ht="28.5" customHeight="1">
      <c r="B23" s="157" t="s">
        <v>149</v>
      </c>
      <c r="C23" s="157" t="s">
        <v>20</v>
      </c>
      <c r="D23" s="158">
        <v>18</v>
      </c>
      <c r="E23" s="157" t="s">
        <v>65</v>
      </c>
      <c r="F23" s="159">
        <v>78000</v>
      </c>
      <c r="G23" s="159">
        <f>D23*F23/2</f>
        <v>702000</v>
      </c>
    </row>
    <row r="24" spans="2:7" ht="12.75" customHeight="1">
      <c r="B24" s="153"/>
      <c r="C24" s="154"/>
      <c r="D24" s="155"/>
      <c r="E24" s="154"/>
      <c r="F24" s="156"/>
      <c r="G24" s="156"/>
    </row>
    <row r="25" spans="2:7" ht="27.75" customHeight="1">
      <c r="B25" s="160" t="s">
        <v>121</v>
      </c>
      <c r="C25" s="23"/>
      <c r="D25" s="90"/>
      <c r="E25" s="23"/>
      <c r="F25" s="123"/>
      <c r="G25" s="123"/>
    </row>
    <row r="26" spans="2:7" ht="12.75" customHeight="1">
      <c r="B26" s="200" t="s">
        <v>67</v>
      </c>
      <c r="C26" s="144" t="s">
        <v>20</v>
      </c>
      <c r="D26" s="144">
        <f>4*6/2</f>
        <v>12</v>
      </c>
      <c r="E26" s="144" t="s">
        <v>68</v>
      </c>
      <c r="F26" s="143">
        <v>26000</v>
      </c>
      <c r="G26" s="145">
        <f>D26*F26</f>
        <v>312000</v>
      </c>
    </row>
    <row r="27" spans="2:7" ht="12.75" customHeight="1">
      <c r="B27" s="200" t="s">
        <v>69</v>
      </c>
      <c r="C27" s="142" t="s">
        <v>20</v>
      </c>
      <c r="D27" s="144">
        <f>1*6/2</f>
        <v>3</v>
      </c>
      <c r="E27" s="144" t="s">
        <v>68</v>
      </c>
      <c r="F27" s="143">
        <v>26000</v>
      </c>
      <c r="G27" s="145">
        <f t="shared" ref="G27" si="0">D27*F27</f>
        <v>78000</v>
      </c>
    </row>
    <row r="28" spans="2:7" ht="12.75" customHeight="1">
      <c r="B28" s="200" t="s">
        <v>70</v>
      </c>
      <c r="C28" s="144" t="s">
        <v>20</v>
      </c>
      <c r="D28" s="144">
        <f>2/8*4/2</f>
        <v>0.5</v>
      </c>
      <c r="E28" s="144" t="s">
        <v>68</v>
      </c>
      <c r="F28" s="143">
        <v>26000</v>
      </c>
      <c r="G28" s="145">
        <f>D28*F28</f>
        <v>13000</v>
      </c>
    </row>
    <row r="29" spans="2:7" ht="12.75" customHeight="1">
      <c r="B29" s="200" t="s">
        <v>71</v>
      </c>
      <c r="C29" s="142" t="s">
        <v>20</v>
      </c>
      <c r="D29" s="142">
        <v>11</v>
      </c>
      <c r="E29" s="144" t="s">
        <v>72</v>
      </c>
      <c r="F29" s="143">
        <v>26000</v>
      </c>
      <c r="G29" s="145">
        <f t="shared" ref="G29:G30" si="1">D29*F29</f>
        <v>286000</v>
      </c>
    </row>
    <row r="30" spans="2:7" ht="12.75" customHeight="1">
      <c r="B30" s="148" t="s">
        <v>103</v>
      </c>
      <c r="C30" s="142" t="s">
        <v>20</v>
      </c>
      <c r="D30" s="142">
        <v>550</v>
      </c>
      <c r="E30" s="142" t="s">
        <v>145</v>
      </c>
      <c r="F30" s="143">
        <v>26000</v>
      </c>
      <c r="G30" s="145">
        <f t="shared" si="1"/>
        <v>14300000</v>
      </c>
    </row>
    <row r="31" spans="2:7" ht="12.75" customHeight="1">
      <c r="B31" s="200" t="s">
        <v>74</v>
      </c>
      <c r="C31" s="144" t="s">
        <v>20</v>
      </c>
      <c r="D31" s="144">
        <f>0.5*4*8+0.5*2*9</f>
        <v>25</v>
      </c>
      <c r="E31" s="144" t="s">
        <v>146</v>
      </c>
      <c r="F31" s="143">
        <v>26000</v>
      </c>
      <c r="G31" s="145">
        <f>D31*F31</f>
        <v>650000</v>
      </c>
    </row>
    <row r="32" spans="2:7" ht="12.75" customHeight="1">
      <c r="B32" s="148" t="s">
        <v>75</v>
      </c>
      <c r="C32" s="142" t="s">
        <v>20</v>
      </c>
      <c r="D32" s="146">
        <f>1.5/8*4+3/8*6*8+3*4*4</f>
        <v>66.75</v>
      </c>
      <c r="E32" s="142" t="s">
        <v>76</v>
      </c>
      <c r="F32" s="143">
        <v>26000</v>
      </c>
      <c r="G32" s="143">
        <f>D32*F32</f>
        <v>1735500</v>
      </c>
    </row>
    <row r="33" spans="2:10" ht="12.75" customHeight="1">
      <c r="B33" s="148" t="s">
        <v>77</v>
      </c>
      <c r="C33" s="142" t="s">
        <v>20</v>
      </c>
      <c r="D33" s="142">
        <f>40/60/8*30*3.5</f>
        <v>8.75</v>
      </c>
      <c r="E33" s="142" t="s">
        <v>76</v>
      </c>
      <c r="F33" s="143">
        <v>26000</v>
      </c>
      <c r="G33" s="143">
        <f t="shared" ref="G33:G36" si="2">D33*F33</f>
        <v>227500</v>
      </c>
    </row>
    <row r="34" spans="2:10" ht="12.75" customHeight="1">
      <c r="B34" s="147" t="s">
        <v>78</v>
      </c>
      <c r="C34" s="142" t="s">
        <v>20</v>
      </c>
      <c r="D34" s="142">
        <f>0.5*4*6</f>
        <v>12</v>
      </c>
      <c r="E34" s="142" t="s">
        <v>76</v>
      </c>
      <c r="F34" s="143">
        <v>26000</v>
      </c>
      <c r="G34" s="143">
        <f t="shared" si="2"/>
        <v>312000</v>
      </c>
    </row>
    <row r="35" spans="2:10" ht="24.6" customHeight="1">
      <c r="B35" s="147" t="s">
        <v>79</v>
      </c>
      <c r="C35" s="142" t="s">
        <v>20</v>
      </c>
      <c r="D35" s="142">
        <v>24</v>
      </c>
      <c r="E35" s="142" t="s">
        <v>147</v>
      </c>
      <c r="F35" s="143">
        <v>26000</v>
      </c>
      <c r="G35" s="143">
        <f t="shared" si="2"/>
        <v>624000</v>
      </c>
    </row>
    <row r="36" spans="2:10" ht="12.75" customHeight="1">
      <c r="B36" s="147" t="s">
        <v>80</v>
      </c>
      <c r="C36" s="142" t="s">
        <v>20</v>
      </c>
      <c r="D36" s="142">
        <v>20</v>
      </c>
      <c r="E36" s="142" t="s">
        <v>144</v>
      </c>
      <c r="F36" s="143">
        <v>26000</v>
      </c>
      <c r="G36" s="143">
        <f t="shared" si="2"/>
        <v>520000</v>
      </c>
      <c r="H36" s="121"/>
    </row>
    <row r="37" spans="2:10" ht="12.75" customHeight="1">
      <c r="B37" s="141"/>
      <c r="C37" s="142"/>
      <c r="D37" s="142"/>
      <c r="E37" s="142"/>
      <c r="F37" s="143">
        <v>26000</v>
      </c>
      <c r="G37" s="143"/>
    </row>
    <row r="38" spans="2:10" ht="12.75" customHeight="1">
      <c r="B38" s="160" t="s">
        <v>122</v>
      </c>
      <c r="C38" s="161"/>
      <c r="D38" s="162"/>
      <c r="E38" s="161"/>
      <c r="F38" s="143">
        <v>26000</v>
      </c>
      <c r="G38" s="163"/>
    </row>
    <row r="39" spans="2:10" ht="12.75" customHeight="1">
      <c r="B39" s="164" t="s">
        <v>104</v>
      </c>
      <c r="C39" s="161" t="s">
        <v>20</v>
      </c>
      <c r="D39" s="162">
        <v>230</v>
      </c>
      <c r="E39" s="161" t="s">
        <v>123</v>
      </c>
      <c r="F39" s="143">
        <v>26000</v>
      </c>
      <c r="G39" s="163">
        <f t="shared" ref="G39:G41" si="3">D39*F39</f>
        <v>5980000</v>
      </c>
      <c r="H39" s="152"/>
    </row>
    <row r="40" spans="2:10" ht="12.75" customHeight="1">
      <c r="B40" s="160" t="s">
        <v>124</v>
      </c>
      <c r="C40" s="161"/>
      <c r="D40" s="162"/>
      <c r="E40" s="161"/>
      <c r="F40" s="143">
        <v>26000</v>
      </c>
      <c r="G40" s="163"/>
    </row>
    <row r="41" spans="2:10" ht="12.75" customHeight="1">
      <c r="B41" s="164" t="s">
        <v>125</v>
      </c>
      <c r="C41" s="161" t="s">
        <v>20</v>
      </c>
      <c r="D41" s="162">
        <v>175</v>
      </c>
      <c r="E41" s="161" t="s">
        <v>123</v>
      </c>
      <c r="F41" s="143">
        <v>26000</v>
      </c>
      <c r="G41" s="163">
        <f t="shared" si="3"/>
        <v>4550000</v>
      </c>
      <c r="H41" s="121"/>
      <c r="J41" s="207"/>
    </row>
    <row r="42" spans="2:10" ht="12.75" customHeight="1">
      <c r="B42" s="164"/>
      <c r="C42" s="161"/>
      <c r="D42" s="162"/>
      <c r="E42" s="161"/>
      <c r="F42" s="163"/>
      <c r="G42" s="163"/>
    </row>
    <row r="43" spans="2:10" ht="12.75" customHeight="1">
      <c r="B43" s="24" t="s">
        <v>21</v>
      </c>
      <c r="C43" s="25"/>
      <c r="D43" s="25"/>
      <c r="E43" s="25"/>
      <c r="F43" s="26"/>
      <c r="G43" s="124">
        <f>SUM(G21:G42)</f>
        <v>30290000</v>
      </c>
    </row>
    <row r="44" spans="2:10" ht="12" customHeight="1">
      <c r="B44" s="16"/>
      <c r="C44" s="18"/>
      <c r="D44" s="18"/>
      <c r="E44" s="18"/>
      <c r="F44" s="27"/>
      <c r="G44" s="102"/>
    </row>
    <row r="45" spans="2:10" ht="12" customHeight="1">
      <c r="B45" s="28" t="s">
        <v>22</v>
      </c>
      <c r="C45" s="29"/>
      <c r="D45" s="30"/>
      <c r="E45" s="30"/>
      <c r="F45" s="31"/>
      <c r="G45" s="103"/>
    </row>
    <row r="46" spans="2:10" ht="24" customHeight="1">
      <c r="B46" s="32" t="s">
        <v>14</v>
      </c>
      <c r="C46" s="33" t="s">
        <v>15</v>
      </c>
      <c r="D46" s="33" t="s">
        <v>16</v>
      </c>
      <c r="E46" s="32" t="s">
        <v>56</v>
      </c>
      <c r="F46" s="33" t="s">
        <v>18</v>
      </c>
      <c r="G46" s="32" t="s">
        <v>19</v>
      </c>
    </row>
    <row r="47" spans="2:10" ht="12" customHeight="1">
      <c r="B47" s="34" t="s">
        <v>81</v>
      </c>
      <c r="C47" s="34" t="s">
        <v>81</v>
      </c>
      <c r="D47" s="34" t="s">
        <v>81</v>
      </c>
      <c r="E47" s="34" t="s">
        <v>81</v>
      </c>
      <c r="F47" s="89"/>
      <c r="G47" s="126"/>
    </row>
    <row r="48" spans="2:10" ht="12" customHeight="1">
      <c r="B48" s="35" t="s">
        <v>23</v>
      </c>
      <c r="C48" s="36"/>
      <c r="D48" s="36"/>
      <c r="E48" s="36"/>
      <c r="F48" s="37"/>
      <c r="G48" s="127"/>
    </row>
    <row r="49" spans="2:9" ht="12" customHeight="1">
      <c r="B49" s="38"/>
      <c r="C49" s="39"/>
      <c r="D49" s="39"/>
      <c r="E49" s="39"/>
      <c r="F49" s="40"/>
      <c r="G49" s="104"/>
    </row>
    <row r="50" spans="2:9" ht="12" customHeight="1">
      <c r="B50" s="28" t="s">
        <v>24</v>
      </c>
      <c r="C50" s="29"/>
      <c r="D50" s="30"/>
      <c r="E50" s="30"/>
      <c r="F50" s="31"/>
      <c r="G50" s="103"/>
    </row>
    <row r="51" spans="2:9" ht="24" customHeight="1">
      <c r="B51" s="41" t="s">
        <v>14</v>
      </c>
      <c r="C51" s="41" t="s">
        <v>15</v>
      </c>
      <c r="D51" s="41" t="s">
        <v>16</v>
      </c>
      <c r="E51" s="41" t="s">
        <v>17</v>
      </c>
      <c r="F51" s="42" t="s">
        <v>18</v>
      </c>
      <c r="G51" s="41" t="s">
        <v>19</v>
      </c>
    </row>
    <row r="52" spans="2:9" ht="25.5">
      <c r="B52" s="204" t="s">
        <v>150</v>
      </c>
      <c r="C52" s="201" t="s">
        <v>168</v>
      </c>
      <c r="D52" s="202">
        <v>3.2250000000000001</v>
      </c>
      <c r="E52" s="201" t="s">
        <v>72</v>
      </c>
      <c r="F52" s="203">
        <v>180000</v>
      </c>
      <c r="G52" s="203">
        <f>D52*F52</f>
        <v>580500</v>
      </c>
    </row>
    <row r="53" spans="2:9" ht="25.5">
      <c r="B53" s="204" t="s">
        <v>82</v>
      </c>
      <c r="C53" s="201" t="s">
        <v>168</v>
      </c>
      <c r="D53" s="202">
        <v>10.23</v>
      </c>
      <c r="E53" s="201" t="s">
        <v>72</v>
      </c>
      <c r="F53" s="203">
        <v>180000</v>
      </c>
      <c r="G53" s="203">
        <f>D53*F53</f>
        <v>1841400</v>
      </c>
    </row>
    <row r="54" spans="2:9" ht="12.75" customHeight="1">
      <c r="B54" s="228"/>
      <c r="C54" s="23"/>
      <c r="D54" s="90"/>
      <c r="E54" s="23"/>
      <c r="F54" s="123"/>
      <c r="G54" s="123"/>
    </row>
    <row r="55" spans="2:9" ht="12.75" customHeight="1">
      <c r="B55" s="43" t="s">
        <v>25</v>
      </c>
      <c r="C55" s="44"/>
      <c r="D55" s="44"/>
      <c r="E55" s="44"/>
      <c r="F55" s="44"/>
      <c r="G55" s="125">
        <f>G52+G53+G54</f>
        <v>2421900</v>
      </c>
    </row>
    <row r="56" spans="2:9" ht="12" customHeight="1">
      <c r="B56" s="38"/>
      <c r="C56" s="39"/>
      <c r="D56" s="39"/>
      <c r="E56" s="39"/>
      <c r="F56" s="40"/>
      <c r="G56" s="104"/>
    </row>
    <row r="57" spans="2:9" ht="12" customHeight="1">
      <c r="B57" s="28" t="s">
        <v>26</v>
      </c>
      <c r="C57" s="29"/>
      <c r="D57" s="30"/>
      <c r="E57" s="30"/>
      <c r="F57" s="31"/>
      <c r="G57" s="103"/>
    </row>
    <row r="58" spans="2:9" ht="24" customHeight="1">
      <c r="B58" s="92" t="s">
        <v>27</v>
      </c>
      <c r="C58" s="92" t="s">
        <v>28</v>
      </c>
      <c r="D58" s="92" t="s">
        <v>29</v>
      </c>
      <c r="E58" s="92" t="s">
        <v>17</v>
      </c>
      <c r="F58" s="92" t="s">
        <v>18</v>
      </c>
      <c r="G58" s="105" t="s">
        <v>19</v>
      </c>
    </row>
    <row r="59" spans="2:9" ht="12.75" customHeight="1">
      <c r="B59" s="132" t="s">
        <v>126</v>
      </c>
      <c r="C59" s="95"/>
      <c r="D59" s="94"/>
      <c r="E59" s="95"/>
      <c r="F59" s="95"/>
      <c r="G59" s="94"/>
    </row>
    <row r="60" spans="2:9" ht="26.25" customHeight="1">
      <c r="B60" s="171" t="s">
        <v>156</v>
      </c>
      <c r="C60" s="172" t="s">
        <v>59</v>
      </c>
      <c r="D60" s="173">
        <f>2850-500</f>
        <v>2350</v>
      </c>
      <c r="E60" s="172" t="s">
        <v>66</v>
      </c>
      <c r="F60" s="174">
        <f>'PIMIENTO INVERNADERO '!F60*'Al 22.06.22'!$I$60</f>
        <v>659.39499999999998</v>
      </c>
      <c r="G60" s="174">
        <f>D60*F60/2</f>
        <v>774789.125</v>
      </c>
      <c r="I60" s="1">
        <v>1.0449999999999999</v>
      </c>
    </row>
    <row r="61" spans="2:9" ht="31.5" customHeight="1">
      <c r="B61" s="169" t="s">
        <v>157</v>
      </c>
      <c r="C61" s="172" t="s">
        <v>84</v>
      </c>
      <c r="D61" s="173">
        <v>500</v>
      </c>
      <c r="E61" s="172" t="s">
        <v>66</v>
      </c>
      <c r="F61" s="174">
        <f>'PIMIENTO INVERNADERO '!F61*'Al 22.06.22'!$I$60</f>
        <v>3668.4724999999999</v>
      </c>
      <c r="G61" s="174">
        <f>D61*F61</f>
        <v>1834236.25</v>
      </c>
    </row>
    <row r="62" spans="2:9" ht="27.75" customHeight="1">
      <c r="B62" s="169" t="s">
        <v>158</v>
      </c>
      <c r="C62" s="172" t="s">
        <v>59</v>
      </c>
      <c r="D62" s="173">
        <v>330</v>
      </c>
      <c r="E62" s="172" t="s">
        <v>66</v>
      </c>
      <c r="F62" s="174">
        <f>'PIMIENTO INVERNADERO '!F62*'Al 22.06.22'!$I$60</f>
        <v>4601.1349999999993</v>
      </c>
      <c r="G62" s="174">
        <f>D62*F62/2</f>
        <v>759187.27499999991</v>
      </c>
    </row>
    <row r="63" spans="2:9" ht="30" customHeight="1">
      <c r="B63" s="169" t="s">
        <v>161</v>
      </c>
      <c r="C63" s="172" t="s">
        <v>59</v>
      </c>
      <c r="D63" s="173">
        <v>230</v>
      </c>
      <c r="E63" s="172" t="s">
        <v>66</v>
      </c>
      <c r="F63" s="174">
        <f>'PIMIENTO INVERNADERO '!F63*'Al 22.06.22'!$I$60</f>
        <v>4601.1349999999993</v>
      </c>
      <c r="G63" s="174">
        <f>D63*F63/2</f>
        <v>529130.52499999991</v>
      </c>
    </row>
    <row r="64" spans="2:9" ht="30" customHeight="1">
      <c r="B64" s="169" t="s">
        <v>160</v>
      </c>
      <c r="C64" s="172" t="s">
        <v>59</v>
      </c>
      <c r="D64" s="173">
        <v>215</v>
      </c>
      <c r="E64" s="172" t="s">
        <v>66</v>
      </c>
      <c r="F64" s="174">
        <f>'PIMIENTO INVERNADERO '!F64*'Al 22.06.22'!$I$60</f>
        <v>4601.1349999999993</v>
      </c>
      <c r="G64" s="174">
        <f>D64*F64/2</f>
        <v>494622.01249999995</v>
      </c>
    </row>
    <row r="65" spans="2:7" ht="29.25" customHeight="1">
      <c r="B65" s="169" t="s">
        <v>159</v>
      </c>
      <c r="C65" s="172" t="s">
        <v>59</v>
      </c>
      <c r="D65" s="173">
        <v>80</v>
      </c>
      <c r="E65" s="172" t="s">
        <v>66</v>
      </c>
      <c r="F65" s="174">
        <f>'PIMIENTO INVERNADERO '!F65*'Al 22.06.22'!$I$60</f>
        <v>3668.4724999999999</v>
      </c>
      <c r="G65" s="174">
        <f>D65*F65</f>
        <v>293477.8</v>
      </c>
    </row>
    <row r="66" spans="2:7" ht="27" customHeight="1">
      <c r="B66" s="169" t="s">
        <v>162</v>
      </c>
      <c r="C66" s="172" t="s">
        <v>127</v>
      </c>
      <c r="D66" s="173">
        <v>14</v>
      </c>
      <c r="E66" s="172" t="s">
        <v>66</v>
      </c>
      <c r="F66" s="174">
        <f>'PIMIENTO INVERNADERO '!F66*'Al 22.06.22'!$I$60</f>
        <v>261249.99999999997</v>
      </c>
      <c r="G66" s="174">
        <f>D66*F66/4</f>
        <v>914374.99999999988</v>
      </c>
    </row>
    <row r="67" spans="2:7" ht="36.75" customHeight="1">
      <c r="B67" s="175" t="s">
        <v>163</v>
      </c>
      <c r="C67" s="176" t="s">
        <v>128</v>
      </c>
      <c r="D67" s="177">
        <v>4</v>
      </c>
      <c r="E67" s="172" t="s">
        <v>66</v>
      </c>
      <c r="F67" s="174">
        <f>'PIMIENTO INVERNADERO '!F67*'Al 22.06.22'!$I$60</f>
        <v>55213.619999999995</v>
      </c>
      <c r="G67" s="179">
        <f>D67*F67/4</f>
        <v>55213.619999999995</v>
      </c>
    </row>
    <row r="68" spans="2:7" ht="36.75" customHeight="1">
      <c r="B68" s="169" t="s">
        <v>164</v>
      </c>
      <c r="C68" s="172" t="s">
        <v>59</v>
      </c>
      <c r="D68" s="173">
        <v>150</v>
      </c>
      <c r="E68" s="172" t="s">
        <v>66</v>
      </c>
      <c r="F68" s="174">
        <f>'PIMIENTO INVERNADERO '!F68*'Al 22.06.22'!$I$60</f>
        <v>3668.4724999999999</v>
      </c>
      <c r="G68" s="174">
        <f t="shared" ref="G68" si="4">D68*F68</f>
        <v>550270.875</v>
      </c>
    </row>
    <row r="69" spans="2:7" ht="12.75" customHeight="1">
      <c r="B69" s="180" t="s">
        <v>129</v>
      </c>
      <c r="C69" s="181"/>
      <c r="D69" s="182"/>
      <c r="E69" s="181"/>
      <c r="F69" s="174">
        <f>'PIMIENTO INVERNADERO '!F69*'Al 22.06.22'!$I$60</f>
        <v>0</v>
      </c>
      <c r="G69" s="183"/>
    </row>
    <row r="70" spans="2:7" ht="34.5" customHeight="1">
      <c r="B70" s="184" t="s">
        <v>165</v>
      </c>
      <c r="C70" s="172" t="s">
        <v>83</v>
      </c>
      <c r="D70" s="173">
        <v>11520</v>
      </c>
      <c r="E70" s="172" t="s">
        <v>73</v>
      </c>
      <c r="F70" s="174">
        <f>'PIMIENTO INVERNADERO '!F70*'Al 22.06.22'!$I$60</f>
        <v>52.229099999999995</v>
      </c>
      <c r="G70" s="174">
        <f>D70*F70/1</f>
        <v>601679.23199999996</v>
      </c>
    </row>
    <row r="71" spans="2:7" ht="25.5" customHeight="1">
      <c r="B71" s="169" t="s">
        <v>85</v>
      </c>
      <c r="C71" s="166" t="s">
        <v>59</v>
      </c>
      <c r="D71" s="170">
        <v>40.510127531882972</v>
      </c>
      <c r="E71" s="166" t="s">
        <v>98</v>
      </c>
      <c r="F71" s="174">
        <f>'PIMIENTO INVERNADERO '!F71*'Al 22.06.22'!$I$60</f>
        <v>5225.3971000000001</v>
      </c>
      <c r="G71" s="168">
        <f t="shared" ref="G71" si="5">D71*F71</f>
        <v>211681.50292573145</v>
      </c>
    </row>
    <row r="72" spans="2:7" ht="27" customHeight="1">
      <c r="B72" s="169" t="s">
        <v>166</v>
      </c>
      <c r="C72" s="166" t="s">
        <v>130</v>
      </c>
      <c r="D72" s="170">
        <v>1</v>
      </c>
      <c r="E72" s="166" t="s">
        <v>131</v>
      </c>
      <c r="F72" s="174">
        <f>'PIMIENTO INVERNADERO '!F72*'Al 22.06.22'!$I$60</f>
        <v>10450000</v>
      </c>
      <c r="G72" s="168">
        <f>D72*F72/4</f>
        <v>2612500</v>
      </c>
    </row>
    <row r="73" spans="2:7" ht="12.75" customHeight="1">
      <c r="B73" s="132" t="s">
        <v>132</v>
      </c>
      <c r="C73" s="91"/>
      <c r="D73" s="93"/>
      <c r="E73" s="91"/>
      <c r="F73" s="174">
        <f>'PIMIENTO INVERNADERO '!F73*'Al 22.06.22'!$I$60</f>
        <v>0</v>
      </c>
      <c r="G73" s="94"/>
    </row>
    <row r="74" spans="2:7" ht="12.75" customHeight="1">
      <c r="B74" s="206" t="s">
        <v>151</v>
      </c>
      <c r="C74" s="151" t="s">
        <v>58</v>
      </c>
      <c r="D74" s="149">
        <v>28000</v>
      </c>
      <c r="E74" s="151" t="s">
        <v>72</v>
      </c>
      <c r="F74" s="174">
        <f>'PIMIENTO INVERNADERO '!F74*'Al 22.06.22'!$I$60</f>
        <v>261.25</v>
      </c>
      <c r="G74" s="150">
        <f>D74*F74</f>
        <v>7315000</v>
      </c>
    </row>
    <row r="75" spans="2:7" ht="12.75" customHeight="1">
      <c r="B75" s="184"/>
      <c r="C75" s="166"/>
      <c r="D75" s="167"/>
      <c r="E75" s="166"/>
      <c r="F75" s="174">
        <f>'PIMIENTO INVERNADERO '!F75*'Al 22.06.22'!$I$60</f>
        <v>0</v>
      </c>
      <c r="G75" s="168"/>
    </row>
    <row r="76" spans="2:7" ht="12.75" customHeight="1">
      <c r="B76" s="133" t="s">
        <v>57</v>
      </c>
      <c r="C76" s="91"/>
      <c r="D76" s="93"/>
      <c r="E76" s="91"/>
      <c r="F76" s="174">
        <f>'PIMIENTO INVERNADERO '!F76*'Al 22.06.22'!$I$60</f>
        <v>0</v>
      </c>
      <c r="G76" s="94"/>
    </row>
    <row r="77" spans="2:7" ht="12.75" customHeight="1">
      <c r="B77" s="165" t="s">
        <v>86</v>
      </c>
      <c r="C77" s="166" t="s">
        <v>87</v>
      </c>
      <c r="D77" s="167">
        <v>50</v>
      </c>
      <c r="E77" s="166" t="s">
        <v>72</v>
      </c>
      <c r="F77" s="174">
        <f>'PIMIENTO INVERNADERO '!F77*'Al 22.06.22'!$I$60</f>
        <v>8360</v>
      </c>
      <c r="G77" s="168">
        <f t="shared" ref="G77:G101" si="6">D77*F77</f>
        <v>418000</v>
      </c>
    </row>
    <row r="78" spans="2:7" ht="12.75" customHeight="1">
      <c r="B78" s="165" t="s">
        <v>88</v>
      </c>
      <c r="C78" s="166" t="s">
        <v>84</v>
      </c>
      <c r="D78" s="167">
        <v>250</v>
      </c>
      <c r="E78" s="166" t="s">
        <v>72</v>
      </c>
      <c r="F78" s="174">
        <f>'PIMIENTO INVERNADERO '!F78*'Al 22.06.22'!$I$60</f>
        <v>1115.46435</v>
      </c>
      <c r="G78" s="168">
        <f t="shared" si="6"/>
        <v>278866.08749999997</v>
      </c>
    </row>
    <row r="79" spans="2:7" ht="12.75" customHeight="1">
      <c r="B79" s="165" t="s">
        <v>89</v>
      </c>
      <c r="C79" s="166" t="s">
        <v>84</v>
      </c>
      <c r="D79" s="167">
        <v>200</v>
      </c>
      <c r="E79" s="166" t="s">
        <v>90</v>
      </c>
      <c r="F79" s="174">
        <f>'PIMIENTO INVERNADERO '!F79*'Al 22.06.22'!$I$60</f>
        <v>2511.9709999999995</v>
      </c>
      <c r="G79" s="168">
        <f t="shared" si="6"/>
        <v>502394.1999999999</v>
      </c>
    </row>
    <row r="80" spans="2:7" ht="12.75" customHeight="1">
      <c r="B80" s="165" t="s">
        <v>91</v>
      </c>
      <c r="C80" s="166" t="s">
        <v>92</v>
      </c>
      <c r="D80" s="167">
        <v>1300</v>
      </c>
      <c r="E80" s="166" t="s">
        <v>76</v>
      </c>
      <c r="F80" s="174">
        <f>'PIMIENTO INVERNADERO '!F80*'Al 22.06.22'!$I$60</f>
        <v>1859.1072499999998</v>
      </c>
      <c r="G80" s="168">
        <f t="shared" si="6"/>
        <v>2416839.4249999998</v>
      </c>
    </row>
    <row r="81" spans="2:7" ht="12.75" customHeight="1">
      <c r="B81" s="165" t="s">
        <v>93</v>
      </c>
      <c r="C81" s="166" t="s">
        <v>84</v>
      </c>
      <c r="D81" s="167">
        <v>450</v>
      </c>
      <c r="E81" s="166" t="s">
        <v>76</v>
      </c>
      <c r="F81" s="174">
        <f>'PIMIENTO INVERNADERO '!F81*'Al 22.06.22'!$I$60</f>
        <v>828.20429999999988</v>
      </c>
      <c r="G81" s="168">
        <f t="shared" si="6"/>
        <v>372691.93499999994</v>
      </c>
    </row>
    <row r="82" spans="2:7" ht="12.75" customHeight="1">
      <c r="B82" s="165" t="s">
        <v>94</v>
      </c>
      <c r="C82" s="166" t="s">
        <v>84</v>
      </c>
      <c r="D82" s="167">
        <v>100</v>
      </c>
      <c r="E82" s="166" t="s">
        <v>76</v>
      </c>
      <c r="F82" s="174">
        <f>'PIMIENTO INVERNADERO '!F82*'Al 22.06.22'!$I$60</f>
        <v>743.64289999999994</v>
      </c>
      <c r="G82" s="168">
        <f t="shared" si="6"/>
        <v>74364.289999999994</v>
      </c>
    </row>
    <row r="83" spans="2:7" ht="12.75" customHeight="1">
      <c r="B83" s="165" t="s">
        <v>95</v>
      </c>
      <c r="C83" s="166" t="s">
        <v>84</v>
      </c>
      <c r="D83" s="167">
        <v>100</v>
      </c>
      <c r="E83" s="166" t="s">
        <v>76</v>
      </c>
      <c r="F83" s="174">
        <f>'PIMIENTO INVERNADERO '!F83*'Al 22.06.22'!$I$60</f>
        <v>2002.1154999999997</v>
      </c>
      <c r="G83" s="168">
        <f t="shared" si="6"/>
        <v>200211.54999999996</v>
      </c>
    </row>
    <row r="84" spans="2:7" ht="12.75" customHeight="1">
      <c r="B84" s="165" t="s">
        <v>96</v>
      </c>
      <c r="C84" s="166" t="s">
        <v>84</v>
      </c>
      <c r="D84" s="167">
        <v>100</v>
      </c>
      <c r="E84" s="166" t="s">
        <v>76</v>
      </c>
      <c r="F84" s="174">
        <f>'PIMIENTO INVERNADERO '!F84*'Al 22.06.22'!$I$60</f>
        <v>2002.1154999999997</v>
      </c>
      <c r="G84" s="168">
        <f t="shared" si="6"/>
        <v>200211.54999999996</v>
      </c>
    </row>
    <row r="85" spans="2:7" ht="12.75" customHeight="1">
      <c r="B85" s="165"/>
      <c r="C85" s="166"/>
      <c r="D85" s="167"/>
      <c r="E85" s="166"/>
      <c r="F85" s="174">
        <f>'PIMIENTO INVERNADERO '!F85*'Al 22.06.22'!$I$60</f>
        <v>0</v>
      </c>
      <c r="G85" s="168"/>
    </row>
    <row r="86" spans="2:7" ht="12.75" customHeight="1">
      <c r="B86" s="132" t="s">
        <v>133</v>
      </c>
      <c r="C86" s="91"/>
      <c r="D86" s="93"/>
      <c r="E86" s="91"/>
      <c r="F86" s="174">
        <f>'PIMIENTO INVERNADERO '!F86*'Al 22.06.22'!$I$60</f>
        <v>0</v>
      </c>
      <c r="G86" s="94"/>
    </row>
    <row r="87" spans="2:7" ht="12.75" customHeight="1">
      <c r="B87" s="185" t="s">
        <v>97</v>
      </c>
      <c r="C87" s="91"/>
      <c r="D87" s="93"/>
      <c r="E87" s="91"/>
      <c r="F87" s="174">
        <f>'PIMIENTO INVERNADERO '!F87*'Al 22.06.22'!$I$60</f>
        <v>0</v>
      </c>
      <c r="G87" s="94"/>
    </row>
    <row r="88" spans="2:7" ht="12.75" customHeight="1">
      <c r="B88" s="222" t="s">
        <v>107</v>
      </c>
      <c r="C88" s="223" t="s">
        <v>84</v>
      </c>
      <c r="D88" s="224">
        <v>0.5</v>
      </c>
      <c r="E88" s="223" t="s">
        <v>76</v>
      </c>
      <c r="F88" s="174">
        <f>'PIMIENTO INVERNADERO '!F88*'Al 22.06.22'!$I$60</f>
        <v>234402.95724999998</v>
      </c>
      <c r="G88" s="225">
        <f t="shared" si="6"/>
        <v>117201.47862499999</v>
      </c>
    </row>
    <row r="89" spans="2:7" ht="12.75" customHeight="1">
      <c r="B89" s="222" t="s">
        <v>108</v>
      </c>
      <c r="C89" s="223" t="s">
        <v>84</v>
      </c>
      <c r="D89" s="224">
        <v>2</v>
      </c>
      <c r="E89" s="223" t="s">
        <v>76</v>
      </c>
      <c r="F89" s="174">
        <f>'PIMIENTO INVERNADERO '!F89*'Al 22.06.22'!$I$60</f>
        <v>109457.27099999998</v>
      </c>
      <c r="G89" s="225">
        <f>D89*F89</f>
        <v>218914.54199999996</v>
      </c>
    </row>
    <row r="90" spans="2:7" ht="12.75" customHeight="1">
      <c r="B90" s="138" t="s">
        <v>109</v>
      </c>
      <c r="C90" s="136" t="s">
        <v>102</v>
      </c>
      <c r="D90" s="139">
        <v>1</v>
      </c>
      <c r="E90" s="137" t="s">
        <v>154</v>
      </c>
      <c r="F90" s="174">
        <f>'PIMIENTO INVERNADERO '!F90*'Al 22.06.22'!$I$60</f>
        <v>106263.83459999999</v>
      </c>
      <c r="G90" s="225">
        <f>D90*F90</f>
        <v>106263.83459999999</v>
      </c>
    </row>
    <row r="91" spans="2:7" ht="12.75" customHeight="1">
      <c r="B91" s="221" t="s">
        <v>110</v>
      </c>
      <c r="C91" s="217" t="s">
        <v>102</v>
      </c>
      <c r="D91" s="218">
        <f>6</f>
        <v>6</v>
      </c>
      <c r="E91" s="216" t="s">
        <v>155</v>
      </c>
      <c r="F91" s="174">
        <f>'PIMIENTO INVERNADERO '!F91*'Al 22.06.22'!$I$60</f>
        <v>28910.050399999996</v>
      </c>
      <c r="G91" s="225">
        <f t="shared" ref="G91:G93" si="7">D91*F91</f>
        <v>173460.30239999999</v>
      </c>
    </row>
    <row r="92" spans="2:7" ht="12.75" customHeight="1">
      <c r="B92" s="221" t="s">
        <v>111</v>
      </c>
      <c r="C92" s="216" t="s">
        <v>102</v>
      </c>
      <c r="D92" s="218">
        <v>2</v>
      </c>
      <c r="E92" s="216" t="s">
        <v>155</v>
      </c>
      <c r="F92" s="174">
        <f>'PIMIENTO INVERNADERO '!F92*'Al 22.06.22'!$I$60</f>
        <v>101418.9638</v>
      </c>
      <c r="G92" s="225">
        <f t="shared" si="7"/>
        <v>202837.9276</v>
      </c>
    </row>
    <row r="93" spans="2:7" ht="12.75" customHeight="1">
      <c r="B93" s="221" t="s">
        <v>112</v>
      </c>
      <c r="C93" s="216" t="s">
        <v>101</v>
      </c>
      <c r="D93" s="218">
        <v>2</v>
      </c>
      <c r="E93" s="216" t="s">
        <v>155</v>
      </c>
      <c r="F93" s="174">
        <f>'PIMIENTO INVERNADERO '!F93*'Al 22.06.22'!$I$60</f>
        <v>82820.429999999993</v>
      </c>
      <c r="G93" s="225">
        <f t="shared" si="7"/>
        <v>165640.85999999999</v>
      </c>
    </row>
    <row r="94" spans="2:7" ht="12.75" customHeight="1">
      <c r="B94" s="186"/>
      <c r="C94" s="187"/>
      <c r="D94" s="188"/>
      <c r="E94" s="187"/>
      <c r="F94" s="174">
        <f>'PIMIENTO INVERNADERO '!F94*'Al 22.06.22'!$I$60</f>
        <v>0</v>
      </c>
      <c r="G94" s="189"/>
    </row>
    <row r="95" spans="2:7" ht="12.75" customHeight="1">
      <c r="C95" s="187"/>
      <c r="D95" s="188"/>
      <c r="E95" s="187"/>
      <c r="F95" s="174">
        <f>'PIMIENTO INVERNADERO '!F95*'Al 22.06.22'!$I$60</f>
        <v>0</v>
      </c>
      <c r="G95" s="189"/>
    </row>
    <row r="96" spans="2:7" ht="12.75" customHeight="1">
      <c r="B96" s="186" t="s">
        <v>134</v>
      </c>
      <c r="C96" s="187"/>
      <c r="D96" s="188"/>
      <c r="E96" s="187"/>
      <c r="F96" s="174">
        <f>'PIMIENTO INVERNADERO '!F96*'Al 22.06.22'!$I$60</f>
        <v>0</v>
      </c>
      <c r="G96" s="189"/>
    </row>
    <row r="97" spans="2:7" ht="12.75" customHeight="1">
      <c r="B97" s="222" t="s">
        <v>113</v>
      </c>
      <c r="C97" s="223" t="s">
        <v>84</v>
      </c>
      <c r="D97" s="224">
        <v>0.5</v>
      </c>
      <c r="E97" s="223" t="s">
        <v>72</v>
      </c>
      <c r="F97" s="174">
        <f>'PIMIENTO INVERNADERO '!F97*'Al 22.06.22'!$I$60</f>
        <v>84751.663149999993</v>
      </c>
      <c r="G97" s="225">
        <f t="shared" si="6"/>
        <v>42375.831574999997</v>
      </c>
    </row>
    <row r="98" spans="2:7" ht="12.75" customHeight="1">
      <c r="B98" s="222" t="s">
        <v>115</v>
      </c>
      <c r="C98" s="223" t="s">
        <v>84</v>
      </c>
      <c r="D98" s="224">
        <v>1</v>
      </c>
      <c r="E98" s="223" t="s">
        <v>135</v>
      </c>
      <c r="F98" s="174">
        <f>'PIMIENTO INVERNADERO '!F98*'Al 22.06.22'!$I$60</f>
        <v>182678.73854999998</v>
      </c>
      <c r="G98" s="225">
        <f t="shared" si="6"/>
        <v>182678.73854999998</v>
      </c>
    </row>
    <row r="99" spans="2:7" ht="12.75" customHeight="1">
      <c r="B99" s="222" t="s">
        <v>136</v>
      </c>
      <c r="C99" s="223" t="s">
        <v>84</v>
      </c>
      <c r="D99" s="224">
        <v>1</v>
      </c>
      <c r="E99" s="223" t="s">
        <v>137</v>
      </c>
      <c r="F99" s="174">
        <f>'PIMIENTO INVERNADERO '!F99*'Al 22.06.22'!$I$60</f>
        <v>108575.59404999999</v>
      </c>
      <c r="G99" s="225">
        <f t="shared" si="6"/>
        <v>108575.59404999999</v>
      </c>
    </row>
    <row r="100" spans="2:7" ht="12.75" customHeight="1">
      <c r="B100" s="222" t="s">
        <v>116</v>
      </c>
      <c r="C100" s="223" t="s">
        <v>101</v>
      </c>
      <c r="D100" s="224">
        <v>5</v>
      </c>
      <c r="E100" s="223" t="s">
        <v>152</v>
      </c>
      <c r="F100" s="174">
        <f>'PIMIENTO INVERNADERO '!F100*'Al 22.06.22'!$I$60</f>
        <v>2148.8543999999997</v>
      </c>
      <c r="G100" s="225">
        <f t="shared" si="6"/>
        <v>10744.271999999999</v>
      </c>
    </row>
    <row r="101" spans="2:7" ht="12.75" customHeight="1">
      <c r="B101" s="138" t="s">
        <v>114</v>
      </c>
      <c r="C101" s="223" t="s">
        <v>84</v>
      </c>
      <c r="D101" s="224">
        <v>1</v>
      </c>
      <c r="E101" s="223" t="s">
        <v>138</v>
      </c>
      <c r="F101" s="174">
        <f>'PIMIENTO INVERNADERO '!F101*'Al 22.06.22'!$I$60</f>
        <v>42192.407949999993</v>
      </c>
      <c r="G101" s="225">
        <f t="shared" si="6"/>
        <v>42192.407949999993</v>
      </c>
    </row>
    <row r="102" spans="2:7" ht="12.75" customHeight="1">
      <c r="B102" s="190"/>
      <c r="C102" s="191"/>
      <c r="D102" s="192"/>
      <c r="E102" s="193"/>
      <c r="F102" s="174">
        <f>'PIMIENTO INVERNADERO '!F102*'Al 22.06.22'!$I$60</f>
        <v>0</v>
      </c>
      <c r="G102" s="194"/>
    </row>
    <row r="103" spans="2:7" ht="12.75" customHeight="1">
      <c r="B103" s="133" t="s">
        <v>139</v>
      </c>
      <c r="C103" s="91"/>
      <c r="D103" s="93"/>
      <c r="E103" s="91"/>
      <c r="F103" s="174">
        <f>'PIMIENTO INVERNADERO '!F103*'Al 22.06.22'!$I$60</f>
        <v>0</v>
      </c>
      <c r="G103" s="94"/>
    </row>
    <row r="104" spans="2:7" ht="12.75" customHeight="1">
      <c r="B104" s="195" t="s">
        <v>117</v>
      </c>
      <c r="C104" s="196" t="s">
        <v>140</v>
      </c>
      <c r="D104" s="197">
        <f>2/2</f>
        <v>1</v>
      </c>
      <c r="E104" s="193" t="s">
        <v>98</v>
      </c>
      <c r="F104" s="174">
        <f>'PIMIENTO INVERNADERO '!F104*'Al 22.06.22'!$I$60</f>
        <v>69638.799999999988</v>
      </c>
      <c r="G104" s="197">
        <f>F104*D104</f>
        <v>69638.799999999988</v>
      </c>
    </row>
    <row r="105" spans="2:7" ht="12.75" customHeight="1">
      <c r="B105" s="96"/>
      <c r="C105" s="91"/>
      <c r="D105" s="93"/>
      <c r="E105" s="91"/>
      <c r="F105" s="174">
        <f>'PIMIENTO INVERNADERO '!F105*'Al 22.06.22'!$I$60</f>
        <v>0</v>
      </c>
      <c r="G105" s="94"/>
    </row>
    <row r="106" spans="2:7" ht="13.5" customHeight="1">
      <c r="B106" s="118" t="s">
        <v>30</v>
      </c>
      <c r="C106" s="119"/>
      <c r="D106" s="119"/>
      <c r="E106" s="119"/>
      <c r="F106" s="120"/>
      <c r="G106" s="128">
        <f>SUM(G59:G105)</f>
        <v>22850266.844275728</v>
      </c>
    </row>
    <row r="107" spans="2:7" ht="12" customHeight="1">
      <c r="B107" s="113"/>
      <c r="C107" s="114"/>
      <c r="D107" s="114"/>
      <c r="E107" s="115"/>
      <c r="F107" s="116"/>
      <c r="G107" s="117"/>
    </row>
    <row r="108" spans="2:7" ht="12" customHeight="1">
      <c r="B108" s="28" t="s">
        <v>31</v>
      </c>
      <c r="C108" s="29"/>
      <c r="D108" s="30"/>
      <c r="E108" s="30"/>
      <c r="F108" s="31"/>
      <c r="G108" s="103"/>
    </row>
    <row r="109" spans="2:7" ht="24" customHeight="1">
      <c r="B109" s="112" t="s">
        <v>32</v>
      </c>
      <c r="C109" s="92" t="s">
        <v>28</v>
      </c>
      <c r="D109" s="92" t="s">
        <v>29</v>
      </c>
      <c r="E109" s="112" t="s">
        <v>17</v>
      </c>
      <c r="F109" s="92" t="s">
        <v>18</v>
      </c>
      <c r="G109" s="112" t="s">
        <v>19</v>
      </c>
    </row>
    <row r="110" spans="2:7" ht="16.5" customHeight="1">
      <c r="B110" s="198" t="s">
        <v>141</v>
      </c>
      <c r="C110" s="198" t="s">
        <v>142</v>
      </c>
      <c r="D110" s="198">
        <v>10</v>
      </c>
      <c r="E110" s="198" t="s">
        <v>167</v>
      </c>
      <c r="F110" s="199">
        <v>120000</v>
      </c>
      <c r="G110" s="199">
        <f t="shared" ref="G110" si="8">F110*D110</f>
        <v>1200000</v>
      </c>
    </row>
    <row r="111" spans="2:7" ht="13.5" customHeight="1">
      <c r="B111" s="45" t="s">
        <v>33</v>
      </c>
      <c r="C111" s="46"/>
      <c r="D111" s="46"/>
      <c r="E111" s="111"/>
      <c r="F111" s="47"/>
      <c r="G111" s="129">
        <f>SUM(G110)</f>
        <v>1200000</v>
      </c>
    </row>
    <row r="112" spans="2:7" ht="12" customHeight="1">
      <c r="B112" s="57"/>
      <c r="C112" s="57"/>
      <c r="D112" s="57"/>
      <c r="E112" s="57"/>
      <c r="F112" s="58"/>
      <c r="G112" s="106"/>
    </row>
    <row r="113" spans="2:9" ht="12" customHeight="1">
      <c r="B113" s="59" t="s">
        <v>34</v>
      </c>
      <c r="C113" s="60"/>
      <c r="D113" s="60"/>
      <c r="E113" s="60"/>
      <c r="F113" s="60"/>
      <c r="G113" s="61">
        <f>G43+G48+G55+G106+G111</f>
        <v>56762166.844275728</v>
      </c>
    </row>
    <row r="114" spans="2:9" ht="12" customHeight="1">
      <c r="B114" s="62" t="s">
        <v>35</v>
      </c>
      <c r="C114" s="49"/>
      <c r="D114" s="49"/>
      <c r="E114" s="49"/>
      <c r="F114" s="49"/>
      <c r="G114" s="63">
        <f>G113*0.05</f>
        <v>2838108.3422137867</v>
      </c>
      <c r="I114" s="208"/>
    </row>
    <row r="115" spans="2:9" ht="12" customHeight="1">
      <c r="B115" s="64" t="s">
        <v>36</v>
      </c>
      <c r="C115" s="48"/>
      <c r="D115" s="48"/>
      <c r="E115" s="48"/>
      <c r="F115" s="48"/>
      <c r="G115" s="65">
        <f>G114+G113</f>
        <v>59600275.186489515</v>
      </c>
    </row>
    <row r="116" spans="2:9" ht="12" customHeight="1">
      <c r="B116" s="62" t="s">
        <v>37</v>
      </c>
      <c r="C116" s="49"/>
      <c r="D116" s="49"/>
      <c r="E116" s="49"/>
      <c r="F116" s="49"/>
      <c r="G116" s="63">
        <f>G12</f>
        <v>72800000</v>
      </c>
    </row>
    <row r="117" spans="2:9" ht="12" customHeight="1">
      <c r="B117" s="66" t="s">
        <v>38</v>
      </c>
      <c r="C117" s="67"/>
      <c r="D117" s="67"/>
      <c r="E117" s="67"/>
      <c r="F117" s="67"/>
      <c r="G117" s="61">
        <f>G116-G115</f>
        <v>13199724.813510485</v>
      </c>
    </row>
    <row r="118" spans="2:9" ht="12" customHeight="1">
      <c r="B118" s="55" t="s">
        <v>39</v>
      </c>
      <c r="C118" s="56"/>
      <c r="D118" s="56"/>
      <c r="E118" s="56"/>
      <c r="F118" s="56"/>
      <c r="G118" s="107"/>
    </row>
    <row r="119" spans="2:9" ht="12.75" customHeight="1" thickBot="1">
      <c r="B119" s="68"/>
      <c r="C119" s="56"/>
      <c r="D119" s="56"/>
      <c r="E119" s="56"/>
      <c r="F119" s="56"/>
      <c r="G119" s="107"/>
    </row>
    <row r="120" spans="2:9" ht="12" customHeight="1">
      <c r="B120" s="79" t="s">
        <v>40</v>
      </c>
      <c r="C120" s="80"/>
      <c r="D120" s="80"/>
      <c r="E120" s="80"/>
      <c r="F120" s="81"/>
      <c r="G120" s="107"/>
    </row>
    <row r="121" spans="2:9" ht="12" customHeight="1">
      <c r="B121" s="82" t="s">
        <v>41</v>
      </c>
      <c r="C121" s="54"/>
      <c r="D121" s="54"/>
      <c r="E121" s="54"/>
      <c r="F121" s="83"/>
      <c r="G121" s="107"/>
    </row>
    <row r="122" spans="2:9" ht="12" customHeight="1">
      <c r="B122" s="82" t="s">
        <v>42</v>
      </c>
      <c r="C122" s="54"/>
      <c r="D122" s="54"/>
      <c r="E122" s="54"/>
      <c r="F122" s="83"/>
      <c r="G122" s="107"/>
    </row>
    <row r="123" spans="2:9" ht="12" customHeight="1">
      <c r="B123" s="82" t="s">
        <v>43</v>
      </c>
      <c r="C123" s="54"/>
      <c r="D123" s="54"/>
      <c r="E123" s="54"/>
      <c r="F123" s="83"/>
      <c r="G123" s="107"/>
    </row>
    <row r="124" spans="2:9" ht="12" customHeight="1">
      <c r="B124" s="82" t="s">
        <v>44</v>
      </c>
      <c r="C124" s="54"/>
      <c r="D124" s="54"/>
      <c r="E124" s="54"/>
      <c r="F124" s="83"/>
      <c r="G124" s="107"/>
    </row>
    <row r="125" spans="2:9" ht="12" customHeight="1">
      <c r="B125" s="82" t="s">
        <v>45</v>
      </c>
      <c r="C125" s="54"/>
      <c r="D125" s="54"/>
      <c r="E125" s="54"/>
      <c r="F125" s="83"/>
      <c r="G125" s="107"/>
    </row>
    <row r="126" spans="2:9" ht="12.75" customHeight="1" thickBot="1">
      <c r="B126" s="84" t="s">
        <v>46</v>
      </c>
      <c r="C126" s="85"/>
      <c r="D126" s="85"/>
      <c r="E126" s="85"/>
      <c r="F126" s="86"/>
      <c r="G126" s="107"/>
    </row>
    <row r="127" spans="2:9" ht="12.75" customHeight="1">
      <c r="B127" s="77"/>
      <c r="C127" s="54"/>
      <c r="D127" s="54"/>
      <c r="E127" s="54"/>
      <c r="F127" s="54"/>
      <c r="G127" s="107"/>
    </row>
    <row r="128" spans="2:9" ht="15" customHeight="1" thickBot="1">
      <c r="B128" s="249" t="s">
        <v>47</v>
      </c>
      <c r="C128" s="250"/>
      <c r="D128" s="76"/>
      <c r="E128" s="50"/>
      <c r="F128" s="50"/>
      <c r="G128" s="107"/>
    </row>
    <row r="129" spans="2:7" ht="12" customHeight="1">
      <c r="B129" s="70" t="s">
        <v>32</v>
      </c>
      <c r="C129" s="130" t="s">
        <v>143</v>
      </c>
      <c r="D129" s="131" t="s">
        <v>48</v>
      </c>
      <c r="E129" s="50"/>
      <c r="F129" s="50"/>
      <c r="G129" s="107"/>
    </row>
    <row r="130" spans="2:7" ht="12" customHeight="1">
      <c r="B130" s="71" t="s">
        <v>49</v>
      </c>
      <c r="C130" s="51">
        <f>G43</f>
        <v>30290000</v>
      </c>
      <c r="D130" s="72">
        <f>(C130/C136)</f>
        <v>0.50821912994902219</v>
      </c>
      <c r="E130" s="50"/>
      <c r="F130" s="50"/>
      <c r="G130" s="107"/>
    </row>
    <row r="131" spans="2:7" ht="12" customHeight="1">
      <c r="B131" s="71" t="s">
        <v>50</v>
      </c>
      <c r="C131" s="51">
        <f>G48</f>
        <v>0</v>
      </c>
      <c r="D131" s="72">
        <v>0</v>
      </c>
      <c r="E131" s="50"/>
      <c r="F131" s="50"/>
      <c r="G131" s="107"/>
    </row>
    <row r="132" spans="2:7" ht="12" customHeight="1">
      <c r="B132" s="71" t="s">
        <v>51</v>
      </c>
      <c r="C132" s="51">
        <f>G55</f>
        <v>2421900</v>
      </c>
      <c r="D132" s="72">
        <f>(C132/C136)</f>
        <v>4.0635718416095638E-2</v>
      </c>
      <c r="E132" s="50"/>
      <c r="F132" s="50"/>
      <c r="G132" s="107"/>
    </row>
    <row r="133" spans="2:7" ht="12" customHeight="1">
      <c r="B133" s="71" t="s">
        <v>27</v>
      </c>
      <c r="C133" s="51">
        <f>G106</f>
        <v>22850266.844275728</v>
      </c>
      <c r="D133" s="72">
        <f>(C133/C136)</f>
        <v>0.38339196879170684</v>
      </c>
      <c r="E133" s="50"/>
      <c r="F133" s="50"/>
      <c r="G133" s="107"/>
    </row>
    <row r="134" spans="2:7" ht="12" customHeight="1">
      <c r="B134" s="71" t="s">
        <v>52</v>
      </c>
      <c r="C134" s="52">
        <f>G111</f>
        <v>1200000</v>
      </c>
      <c r="D134" s="72">
        <f>(C134/C136)</f>
        <v>2.0134135224127655E-2</v>
      </c>
      <c r="E134" s="53"/>
      <c r="F134" s="53"/>
      <c r="G134" s="107"/>
    </row>
    <row r="135" spans="2:7" ht="12" customHeight="1">
      <c r="B135" s="71" t="s">
        <v>53</v>
      </c>
      <c r="C135" s="52">
        <f>G114</f>
        <v>2838108.3422137867</v>
      </c>
      <c r="D135" s="72">
        <f>(C135/C136)</f>
        <v>4.7619047619047623E-2</v>
      </c>
      <c r="E135" s="53"/>
      <c r="F135" s="53"/>
      <c r="G135" s="107"/>
    </row>
    <row r="136" spans="2:7" ht="12.75" customHeight="1" thickBot="1">
      <c r="B136" s="73" t="s">
        <v>54</v>
      </c>
      <c r="C136" s="74">
        <f>SUM(C130:C135)</f>
        <v>59600275.186489515</v>
      </c>
      <c r="D136" s="75">
        <f>SUM(D130:D135)</f>
        <v>0.99999999999999989</v>
      </c>
      <c r="E136" s="53"/>
      <c r="F136" s="53"/>
      <c r="G136" s="107"/>
    </row>
    <row r="137" spans="2:7" ht="12" customHeight="1">
      <c r="B137" s="68"/>
      <c r="C137" s="56"/>
      <c r="D137" s="56"/>
      <c r="E137" s="56"/>
      <c r="F137" s="56"/>
      <c r="G137" s="107"/>
    </row>
    <row r="138" spans="2:7" ht="12.75" customHeight="1" thickBot="1">
      <c r="B138" s="69"/>
      <c r="C138" s="56"/>
      <c r="D138" s="56"/>
      <c r="E138" s="56"/>
      <c r="F138" s="56"/>
      <c r="G138" s="107"/>
    </row>
    <row r="139" spans="2:7" ht="12" customHeight="1" thickBot="1">
      <c r="B139" s="246" t="s">
        <v>63</v>
      </c>
      <c r="C139" s="247"/>
      <c r="D139" s="247"/>
      <c r="E139" s="248"/>
      <c r="F139" s="53"/>
      <c r="G139" s="107"/>
    </row>
    <row r="140" spans="2:7" ht="12" customHeight="1">
      <c r="B140" s="88" t="s">
        <v>61</v>
      </c>
      <c r="C140" s="122">
        <v>500000</v>
      </c>
      <c r="D140" s="122">
        <v>560000</v>
      </c>
      <c r="E140" s="122">
        <v>650000</v>
      </c>
      <c r="F140" s="87"/>
      <c r="G140" s="108"/>
    </row>
    <row r="141" spans="2:7" ht="12.75" customHeight="1" thickBot="1">
      <c r="B141" s="73" t="s">
        <v>62</v>
      </c>
      <c r="C141" s="226">
        <f>(G115/C140)</f>
        <v>119.20055037297902</v>
      </c>
      <c r="D141" s="226">
        <f>(G115/D140)</f>
        <v>106.42906283301699</v>
      </c>
      <c r="E141" s="227">
        <f>(G115/E140)</f>
        <v>91.692731056137717</v>
      </c>
      <c r="F141" s="87"/>
      <c r="G141" s="108"/>
    </row>
    <row r="142" spans="2:7" ht="15.6" customHeight="1">
      <c r="B142" s="78" t="s">
        <v>55</v>
      </c>
      <c r="C142" s="54"/>
      <c r="D142" s="54"/>
      <c r="E142" s="54"/>
      <c r="F142" s="54"/>
      <c r="G142" s="109"/>
    </row>
  </sheetData>
  <mergeCells count="9">
    <mergeCell ref="B17:G17"/>
    <mergeCell ref="B128:C128"/>
    <mergeCell ref="B139:E139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DD9022-0117-4D8C-BD90-083DC46270A3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1030f0af-99cb-42f1-88fc-acec73331192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c5dbce2d-49dc-4afe-a5b0-d7fb7a90116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PIMIENTO INVERNADERO </vt:lpstr>
      <vt:lpstr>Al 22.06.22</vt:lpstr>
      <vt:lpstr>'PIMIENTO INVERNADERO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2022-01-31T21:34:33Z</cp:lastPrinted>
  <dcterms:created xsi:type="dcterms:W3CDTF">2020-11-27T12:49:26Z</dcterms:created>
  <dcterms:modified xsi:type="dcterms:W3CDTF">2022-07-22T13:43:38Z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