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Quillota/"/>
    </mc:Choice>
  </mc:AlternateContent>
  <bookViews>
    <workbookView xWindow="0" yWindow="0" windowWidth="23040" windowHeight="8616"/>
  </bookViews>
  <sheets>
    <sheet name="PIMIENTO INVERNADERO " sheetId="1" r:id="rId1"/>
  </sheets>
  <definedNames>
    <definedName name="_xlnm.Print_Area" localSheetId="0">'PIMIENTO INVERNADERO '!$B$1:$G$142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3" i="1" l="1"/>
  <c r="C132" i="1"/>
  <c r="C130" i="1"/>
  <c r="C136" i="1"/>
  <c r="G74" i="1"/>
  <c r="G72" i="1"/>
  <c r="G71" i="1"/>
  <c r="G70" i="1"/>
  <c r="G68" i="1"/>
  <c r="G67" i="1"/>
  <c r="G66" i="1"/>
  <c r="G65" i="1"/>
  <c r="G64" i="1"/>
  <c r="G63" i="1"/>
  <c r="G62" i="1"/>
  <c r="G61" i="1"/>
  <c r="G60" i="1"/>
  <c r="G12" i="1" l="1"/>
  <c r="G23" i="1" l="1"/>
  <c r="F101" i="1"/>
  <c r="G101" i="1" s="1"/>
  <c r="F93" i="1"/>
  <c r="G93" i="1" s="1"/>
  <c r="F92" i="1"/>
  <c r="G92" i="1" s="1"/>
  <c r="F91" i="1"/>
  <c r="F89" i="1"/>
  <c r="G89" i="1" s="1"/>
  <c r="F90" i="1"/>
  <c r="G90" i="1" s="1"/>
  <c r="D91" i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G28" i="1"/>
  <c r="D27" i="1"/>
  <c r="G27" i="1" s="1"/>
  <c r="D26" i="1"/>
  <c r="G26" i="1" s="1"/>
  <c r="G110" i="1"/>
  <c r="G111" i="1" s="1"/>
  <c r="F104" i="1"/>
  <c r="D104" i="1"/>
  <c r="F100" i="1"/>
  <c r="G100" i="1" s="1"/>
  <c r="F99" i="1"/>
  <c r="G99" i="1" s="1"/>
  <c r="F98" i="1"/>
  <c r="G98" i="1" s="1"/>
  <c r="F97" i="1"/>
  <c r="G97" i="1" s="1"/>
  <c r="F88" i="1"/>
  <c r="G88" i="1" s="1"/>
  <c r="F84" i="1"/>
  <c r="G84" i="1" s="1"/>
  <c r="F83" i="1"/>
  <c r="G83" i="1" s="1"/>
  <c r="F82" i="1"/>
  <c r="G82" i="1" s="1"/>
  <c r="F81" i="1"/>
  <c r="G81" i="1" s="1"/>
  <c r="G80" i="1"/>
  <c r="F79" i="1"/>
  <c r="G79" i="1" s="1"/>
  <c r="F78" i="1"/>
  <c r="G78" i="1" s="1"/>
  <c r="G77" i="1"/>
  <c r="F71" i="1"/>
  <c r="F70" i="1"/>
  <c r="F68" i="1"/>
  <c r="F65" i="1"/>
  <c r="F64" i="1"/>
  <c r="F63" i="1"/>
  <c r="F62" i="1"/>
  <c r="F61" i="1"/>
  <c r="D60" i="1"/>
  <c r="G116" i="1"/>
  <c r="H68" i="1" l="1"/>
  <c r="G91" i="1"/>
  <c r="G52" i="1"/>
  <c r="G53" i="1"/>
  <c r="G104" i="1"/>
  <c r="G106" i="1" l="1"/>
  <c r="G55" i="1" l="1"/>
  <c r="G43" i="1" l="1"/>
  <c r="G113" i="1" s="1"/>
  <c r="G114" i="1" s="1"/>
  <c r="G115" i="1" s="1"/>
  <c r="C134" i="1"/>
  <c r="C141" i="1" l="1"/>
  <c r="D141" i="1"/>
  <c r="E141" i="1"/>
  <c r="C131" i="1"/>
  <c r="C135" i="1" l="1"/>
  <c r="D130" i="1" l="1"/>
  <c r="G117" i="1" l="1"/>
  <c r="D135" i="1"/>
  <c r="D133" i="1"/>
  <c r="D134" i="1"/>
  <c r="D132" i="1"/>
  <c r="D136" i="1" l="1"/>
</calcChain>
</file>

<file path=xl/sharedStrings.xml><?xml version="1.0" encoding="utf-8"?>
<sst xmlns="http://schemas.openxmlformats.org/spreadsheetml/2006/main" count="259" uniqueCount="170">
  <si>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</si>
  <si>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</si>
  <si>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</si>
  <si>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</si>
  <si>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</si>
  <si>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</si>
  <si>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</si>
  <si>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</si>
  <si>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</si>
  <si>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</si>
  <si>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</si>
  <si>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</si>
  <si>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</si>
  <si>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</si>
  <si>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</si>
  <si>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</si>
  <si>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</si>
  <si>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</si>
  <si>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</si>
  <si>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</si>
  <si>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</si>
  <si>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</si>
  <si>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</si>
  <si>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</si>
  <si>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</si>
  <si>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</si>
  <si>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</si>
  <si>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</si>
  <si>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</si>
  <si>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</si>
  <si>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</si>
  <si>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</si>
  <si>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</si>
  <si>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</si>
  <si>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</si>
  <si>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</si>
  <si>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</si>
  <si>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</si>
  <si>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</si>
  <si>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</si>
  <si>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</si>
  <si>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</si>
  <si>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</si>
  <si>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</si>
  <si>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</si>
  <si>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</si>
  <si>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</si>
  <si>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</si>
  <si>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</si>
  <si>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</si>
  <si>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</si>
  <si>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</si>
  <si>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</si>
  <si>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</si>
  <si>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</si>
  <si>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</si>
  <si>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</si>
  <si>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</si>
  <si>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</si>
  <si>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</si>
  <si>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PRECIO ESPERADO ($/Unidades)</t>
  </si>
  <si>
    <t>Rendimiento  (Unidades/hà)</t>
  </si>
  <si>
    <t>Costo unitario ($/ Unidades) (*)</t>
  </si>
  <si>
    <t>ESCENARIOS COSTO UNITARIO  ($/unidades)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</si>
  <si>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</si>
  <si>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</si>
  <si>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</si>
  <si>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</si>
  <si>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</si>
  <si>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</si>
  <si>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</si>
  <si>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</si>
  <si>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</si>
  <si>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</si>
  <si>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</si>
  <si>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</si>
  <si>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</si>
  <si>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</si>
  <si>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</si>
  <si>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</si>
  <si>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</si>
  <si>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</si>
  <si>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</si>
  <si>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</si>
  <si>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</si>
  <si>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</si>
  <si>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</si>
  <si>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</si>
  <si>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</si>
  <si>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</si>
  <si>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</si>
  <si>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</si>
  <si>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</si>
  <si>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</si>
  <si>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</si>
  <si>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</si>
  <si>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</si>
  <si>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</si>
  <si>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</si>
  <si>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</si>
  <si>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 xml:space="preserve">PIMIENTO  INVERNADERO </t>
  </si>
  <si>
    <t>MEDIO</t>
  </si>
  <si>
    <t>KG</t>
  </si>
  <si>
    <t>L</t>
  </si>
  <si>
    <t>Conducción, poda, entutorado</t>
  </si>
  <si>
    <t xml:space="preserve">Cosecha </t>
  </si>
  <si>
    <t>RENDIMIENTO (UN/ha)</t>
  </si>
  <si>
    <t>Hurricane</t>
  </si>
  <si>
    <t>Evisect</t>
  </si>
  <si>
    <t>Engeo</t>
  </si>
  <si>
    <t>Vertimec</t>
  </si>
  <si>
    <t>Magister</t>
  </si>
  <si>
    <t>Sanmite</t>
  </si>
  <si>
    <t>Previcur Energy</t>
  </si>
  <si>
    <t>Ridomil Gold</t>
  </si>
  <si>
    <t>Bellis</t>
  </si>
  <si>
    <t>Azufre Mojable</t>
  </si>
  <si>
    <t xml:space="preserve">Tiras pegajosas adhesivas amarillas </t>
  </si>
  <si>
    <t>CORAZA</t>
  </si>
  <si>
    <t>MERCADO MAYORISTA</t>
  </si>
  <si>
    <t>PREPARACIÓN DE INVERNADEROS</t>
  </si>
  <si>
    <t>MANO DE OBRA LABORES DEL CULTIVO</t>
  </si>
  <si>
    <t xml:space="preserve">MANO DE OBRA COSECHA </t>
  </si>
  <si>
    <t>oct-dic</t>
  </si>
  <si>
    <t>MANO DE OBRA SELECCIÓN/EMABALAJE</t>
  </si>
  <si>
    <t xml:space="preserve">Selección embalaje </t>
  </si>
  <si>
    <t>CUBIIERTA PLASTICA</t>
  </si>
  <si>
    <t>unidad</t>
  </si>
  <si>
    <t>unidades</t>
  </si>
  <si>
    <t>global</t>
  </si>
  <si>
    <t>Diciembre</t>
  </si>
  <si>
    <t xml:space="preserve">PLANTAS INJERTADAS </t>
  </si>
  <si>
    <t>PESTICIDAS</t>
  </si>
  <si>
    <t xml:space="preserve">FUNGICIDAS </t>
  </si>
  <si>
    <t>Ago-Oct</t>
  </si>
  <si>
    <t>Luna Experience</t>
  </si>
  <si>
    <t>Nov-Dic</t>
  </si>
  <si>
    <t>Ago-Sept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</si>
  <si>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</si>
  <si>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</si>
  <si>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</si>
  <si>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</si>
  <si>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</si>
  <si>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</si>
  <si>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</si>
  <si>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</si>
  <si>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</si>
  <si>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OCT 22 - MARZO 23</t>
  </si>
  <si>
    <t>Amortizacion ( 2 cultivos) Instalación de cubierta plástica y malla antiafido</t>
  </si>
  <si>
    <t xml:space="preserve">Preparación de suelo (Rastra + Tiller + mesero) </t>
  </si>
  <si>
    <t xml:space="preserve">Plantines pimiento coraza </t>
  </si>
  <si>
    <t>oct-marzo</t>
  </si>
  <si>
    <t>HELADAS, SEQUIA, VIROSIS</t>
  </si>
  <si>
    <t>Septiembre</t>
  </si>
  <si>
    <t>Abril A Marzo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</si>
  <si>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</si>
  <si>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</si>
  <si>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</si>
  <si>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</si>
  <si>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</si>
  <si>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</si>
  <si>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</si>
  <si>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</si>
  <si>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</si>
  <si>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</si>
  <si>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</si>
  <si>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</si>
  <si>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 xml:space="preserve">RIEGO </t>
  </si>
  <si>
    <t>QUILLOTA</t>
  </si>
  <si>
    <t>TODAS LAS COMUNAS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</si>
</sst>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.00&quot; &quot;;&quot;-&quot;* #,##0.00&quot; &quot;;&quot; &quot;* &quot;-&quot;??&quot; &quot;"/>
    <numFmt numFmtId="167" formatCode="_-* #,##0.00_-;\-* #,##0.00_-;_-* &quot;-&quot;??_-;_-@_-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color theme="1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b/>
      <sz val="7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1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41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167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  <xf numFmtId="42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2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3" fillId="2" borderId="7" xfId="0" applyFont="1" applyFill="1" applyBorder="1" applyAlignment="1">
      <alignment wrapText="1"/>
    </xf>
    <xf numFmtId="14" fontId="3" fillId="2" borderId="8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 applyAlignment="1"/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4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9" fontId="15" fillId="2" borderId="28" xfId="0" applyNumberFormat="1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165" fontId="13" fillId="7" borderId="30" xfId="0" applyNumberFormat="1" applyFont="1" applyFill="1" applyBorder="1" applyAlignment="1">
      <alignment vertical="center"/>
    </xf>
    <xf numFmtId="9" fontId="13" fillId="7" borderId="31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0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2" xfId="0" applyNumberFormat="1" applyFont="1" applyFill="1" applyBorder="1" applyAlignment="1">
      <alignment horizontal="center"/>
    </xf>
    <xf numFmtId="49" fontId="2" fillId="3" borderId="43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/>
    </xf>
    <xf numFmtId="3" fontId="5" fillId="2" borderId="42" xfId="0" applyNumberFormat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3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0" fontId="3" fillId="2" borderId="45" xfId="0" applyFont="1" applyFill="1" applyBorder="1" applyAlignment="1">
      <alignment horizontal="center"/>
    </xf>
    <xf numFmtId="3" fontId="3" fillId="2" borderId="45" xfId="0" applyNumberFormat="1" applyFont="1" applyFill="1" applyBorder="1" applyAlignment="1"/>
    <xf numFmtId="3" fontId="3" fillId="2" borderId="45" xfId="0" applyNumberFormat="1" applyFont="1" applyFill="1" applyBorder="1" applyAlignment="1">
      <alignment horizontal="right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4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2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left" vertical="center" wrapText="1"/>
    </xf>
    <xf numFmtId="49" fontId="20" fillId="2" borderId="42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8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left" vertical="center"/>
    </xf>
    <xf numFmtId="3" fontId="27" fillId="9" borderId="42" xfId="5" applyNumberFormat="1" applyFont="1" applyFill="1" applyBorder="1" applyAlignment="1">
      <alignment horizontal="center" vertical="center" wrapText="1"/>
    </xf>
    <xf numFmtId="49" fontId="5" fillId="2" borderId="49" xfId="7" applyNumberFormat="1" applyFont="1" applyFill="1" applyBorder="1" applyAlignment="1">
      <alignment horizontal="right" vertical="center" wrapText="1"/>
    </xf>
    <xf numFmtId="0" fontId="24" fillId="9" borderId="49" xfId="7" applyFont="1" applyFill="1" applyBorder="1" applyAlignment="1">
      <alignment horizontal="center" vertical="center" wrapText="1"/>
    </xf>
    <xf numFmtId="0" fontId="24" fillId="9" borderId="49" xfId="7" applyFont="1" applyFill="1" applyBorder="1" applyAlignment="1">
      <alignment horizontal="center" vertical="center"/>
    </xf>
    <xf numFmtId="3" fontId="24" fillId="9" borderId="49" xfId="7" applyNumberFormat="1" applyFont="1" applyFill="1" applyBorder="1" applyAlignment="1">
      <alignment horizontal="center" vertical="center"/>
    </xf>
    <xf numFmtId="0" fontId="24" fillId="0" borderId="49" xfId="7" applyFont="1" applyBorder="1" applyAlignment="1">
      <alignment horizontal="center" vertical="center"/>
    </xf>
    <xf numFmtId="3" fontId="24" fillId="0" borderId="49" xfId="7" applyNumberFormat="1" applyFont="1" applyBorder="1" applyAlignment="1">
      <alignment horizontal="center" vertical="center"/>
    </xf>
    <xf numFmtId="2" fontId="24" fillId="9" borderId="49" xfId="7" applyNumberFormat="1" applyFont="1" applyFill="1" applyBorder="1" applyAlignment="1">
      <alignment horizontal="center" vertical="center"/>
    </xf>
    <xf numFmtId="0" fontId="24" fillId="9" borderId="49" xfId="7" applyFont="1" applyFill="1" applyBorder="1" applyAlignment="1">
      <alignment horizontal="left" vertical="center" wrapText="1"/>
    </xf>
    <xf numFmtId="0" fontId="24" fillId="9" borderId="49" xfId="7" applyFont="1" applyFill="1" applyBorder="1" applyAlignment="1">
      <alignment horizontal="left" vertical="center"/>
    </xf>
    <xf numFmtId="0" fontId="5" fillId="9" borderId="42" xfId="0" applyNumberFormat="1" applyFont="1" applyFill="1" applyBorder="1" applyAlignment="1">
      <alignment horizontal="center"/>
    </xf>
    <xf numFmtId="3" fontId="5" fillId="9" borderId="42" xfId="0" applyNumberFormat="1" applyFont="1" applyFill="1" applyBorder="1" applyAlignment="1">
      <alignment horizontal="center"/>
    </xf>
    <xf numFmtId="49" fontId="5" fillId="9" borderId="42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2" xfId="0" applyNumberFormat="1" applyFont="1" applyFill="1" applyBorder="1" applyAlignment="1">
      <alignment horizontal="left"/>
    </xf>
    <xf numFmtId="49" fontId="5" fillId="10" borderId="42" xfId="0" applyNumberFormat="1" applyFont="1" applyFill="1" applyBorder="1" applyAlignment="1">
      <alignment horizontal="center"/>
    </xf>
    <xf numFmtId="0" fontId="5" fillId="10" borderId="42" xfId="0" applyNumberFormat="1" applyFont="1" applyFill="1" applyBorder="1" applyAlignment="1">
      <alignment horizontal="center"/>
    </xf>
    <xf numFmtId="3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left" vertical="center" wrapText="1"/>
    </xf>
    <xf numFmtId="1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center" vertical="center"/>
    </xf>
    <xf numFmtId="0" fontId="5" fillId="10" borderId="42" xfId="0" applyNumberFormat="1" applyFont="1" applyFill="1" applyBorder="1" applyAlignment="1">
      <alignment horizontal="center" vertical="center"/>
    </xf>
    <xf numFmtId="3" fontId="5" fillId="10" borderId="42" xfId="0" applyNumberFormat="1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left" vertical="center" wrapText="1"/>
    </xf>
    <xf numFmtId="0" fontId="24" fillId="9" borderId="50" xfId="2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center" vertical="center"/>
    </xf>
    <xf numFmtId="3" fontId="24" fillId="9" borderId="49" xfId="2" applyNumberFormat="1" applyFont="1" applyFill="1" applyBorder="1" applyAlignment="1">
      <alignment horizontal="center" vertical="center"/>
    </xf>
    <xf numFmtId="3" fontId="24" fillId="0" borderId="49" xfId="2" applyNumberFormat="1" applyFont="1" applyBorder="1" applyAlignment="1">
      <alignment horizontal="center" vertical="center"/>
    </xf>
    <xf numFmtId="49" fontId="20" fillId="9" borderId="42" xfId="0" applyNumberFormat="1" applyFont="1" applyFill="1" applyBorder="1" applyAlignment="1">
      <alignment horizontal="left"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0" fontId="5" fillId="9" borderId="42" xfId="0" applyNumberFormat="1" applyFont="1" applyFill="1" applyBorder="1" applyAlignment="1">
      <alignment horizontal="center" vertical="center"/>
    </xf>
    <xf numFmtId="3" fontId="5" fillId="9" borderId="42" xfId="0" applyNumberFormat="1" applyFont="1" applyFill="1" applyBorder="1" applyAlignment="1">
      <alignment horizontal="center" vertical="center"/>
    </xf>
    <xf numFmtId="49" fontId="5" fillId="10" borderId="42" xfId="0" applyNumberFormat="1" applyFont="1" applyFill="1" applyBorder="1" applyAlignment="1">
      <alignment horizontal="left" wrapText="1"/>
    </xf>
    <xf numFmtId="49" fontId="25" fillId="2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center"/>
    </xf>
    <xf numFmtId="0" fontId="24" fillId="10" borderId="42" xfId="0" applyNumberFormat="1" applyFont="1" applyFill="1" applyBorder="1" applyAlignment="1">
      <alignment horizontal="center"/>
    </xf>
    <xf numFmtId="3" fontId="24" fillId="10" borderId="42" xfId="0" applyNumberFormat="1" applyFont="1" applyFill="1" applyBorder="1" applyAlignment="1">
      <alignment horizontal="center"/>
    </xf>
    <xf numFmtId="49" fontId="24" fillId="2" borderId="42" xfId="0" applyNumberFormat="1" applyFont="1" applyFill="1" applyBorder="1" applyAlignment="1">
      <alignment horizontal="left"/>
    </xf>
    <xf numFmtId="49" fontId="24" fillId="2" borderId="42" xfId="0" applyNumberFormat="1" applyFont="1" applyFill="1" applyBorder="1" applyAlignment="1">
      <alignment horizontal="center"/>
    </xf>
    <xf numFmtId="0" fontId="24" fillId="2" borderId="42" xfId="0" applyNumberFormat="1" applyFont="1" applyFill="1" applyBorder="1" applyAlignment="1">
      <alignment horizontal="center"/>
    </xf>
    <xf numFmtId="0" fontId="30" fillId="9" borderId="49" xfId="2" applyFont="1" applyFill="1" applyBorder="1" applyAlignment="1">
      <alignment horizontal="center" vertical="center"/>
    </xf>
    <xf numFmtId="3" fontId="24" fillId="2" borderId="42" xfId="0" applyNumberFormat="1" applyFont="1" applyFill="1" applyBorder="1" applyAlignment="1">
      <alignment horizontal="center"/>
    </xf>
    <xf numFmtId="0" fontId="24" fillId="9" borderId="49" xfId="2" applyFont="1" applyFill="1" applyBorder="1" applyAlignment="1">
      <alignment vertical="center" wrapText="1"/>
    </xf>
    <xf numFmtId="0" fontId="24" fillId="9" borderId="50" xfId="2" applyFont="1" applyFill="1" applyBorder="1" applyAlignment="1">
      <alignment horizontal="center" vertical="center" wrapText="1"/>
    </xf>
    <xf numFmtId="3" fontId="30" fillId="9" borderId="49" xfId="2" applyNumberFormat="1" applyFont="1" applyFill="1" applyBorder="1" applyAlignment="1">
      <alignment horizontal="center" vertical="center"/>
    </xf>
    <xf numFmtId="0" fontId="24" fillId="10" borderId="49" xfId="2" applyFont="1" applyFill="1" applyBorder="1" applyAlignment="1">
      <alignment horizontal="center" vertical="center"/>
    </xf>
    <xf numFmtId="3" fontId="24" fillId="10" borderId="49" xfId="2" applyNumberFormat="1" applyFont="1" applyFill="1" applyBorder="1" applyAlignment="1">
      <alignment horizontal="center" vertical="center"/>
    </xf>
    <xf numFmtId="0" fontId="24" fillId="0" borderId="49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5" xfId="0" applyNumberFormat="1" applyFont="1" applyFill="1" applyBorder="1" applyAlignment="1">
      <alignment horizontal="right" vertical="center"/>
    </xf>
    <xf numFmtId="49" fontId="5" fillId="9" borderId="42" xfId="0" applyNumberFormat="1" applyFont="1" applyFill="1" applyBorder="1" applyAlignment="1">
      <alignment horizontal="left" wrapText="1"/>
    </xf>
    <xf numFmtId="3" fontId="5" fillId="9" borderId="5" xfId="0" applyNumberFormat="1" applyFont="1" applyFill="1" applyBorder="1" applyAlignment="1">
      <alignment horizontal="right"/>
    </xf>
    <xf numFmtId="49" fontId="5" fillId="9" borderId="49" xfId="7" applyNumberFormat="1" applyFont="1" applyFill="1" applyBorder="1" applyAlignment="1">
      <alignment horizontal="right" vertical="center" wrapText="1"/>
    </xf>
    <xf numFmtId="166" fontId="5" fillId="9" borderId="49" xfId="7" applyNumberFormat="1" applyFont="1" applyFill="1" applyBorder="1" applyAlignment="1">
      <alignment horizontal="right" vertical="center" wrapText="1"/>
    </xf>
    <xf numFmtId="3" fontId="5" fillId="9" borderId="49" xfId="7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/>
    </xf>
    <xf numFmtId="17" fontId="29" fillId="0" borderId="49" xfId="1" applyNumberFormat="1" applyFont="1" applyBorder="1" applyAlignment="1">
      <alignment horizontal="right" vertical="center"/>
    </xf>
    <xf numFmtId="3" fontId="28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center" vertical="center"/>
    </xf>
    <xf numFmtId="0" fontId="24" fillId="9" borderId="42" xfId="5" applyFont="1" applyFill="1" applyBorder="1" applyAlignment="1">
      <alignment horizontal="center" vertical="center"/>
    </xf>
    <xf numFmtId="3" fontId="29" fillId="9" borderId="42" xfId="5" applyNumberFormat="1" applyFont="1" applyFill="1" applyBorder="1" applyAlignment="1">
      <alignment horizontal="center" vertical="center" wrapText="1"/>
    </xf>
    <xf numFmtId="3" fontId="24" fillId="9" borderId="42" xfId="5" applyNumberFormat="1" applyFont="1" applyFill="1" applyBorder="1" applyAlignment="1">
      <alignment horizontal="center"/>
    </xf>
    <xf numFmtId="3" fontId="29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left" vertical="center"/>
    </xf>
    <xf numFmtId="49" fontId="24" fillId="9" borderId="42" xfId="0" applyNumberFormat="1" applyFont="1" applyFill="1" applyBorder="1" applyAlignment="1">
      <alignment horizontal="left"/>
    </xf>
    <xf numFmtId="49" fontId="24" fillId="9" borderId="42" xfId="0" applyNumberFormat="1" applyFont="1" applyFill="1" applyBorder="1" applyAlignment="1">
      <alignment horizontal="center"/>
    </xf>
    <xf numFmtId="0" fontId="24" fillId="9" borderId="42" xfId="0" applyNumberFormat="1" applyFont="1" applyFill="1" applyBorder="1" applyAlignment="1">
      <alignment horizontal="center"/>
    </xf>
    <xf numFmtId="3" fontId="24" fillId="9" borderId="42" xfId="0" applyNumberFormat="1" applyFont="1" applyFill="1" applyBorder="1" applyAlignment="1">
      <alignment horizontal="center"/>
    </xf>
    <xf numFmtId="165" fontId="13" fillId="7" borderId="30" xfId="0" applyNumberFormat="1" applyFont="1" applyFill="1" applyBorder="1" applyAlignment="1">
      <alignment horizontal="center" vertical="center"/>
    </xf>
    <xf numFmtId="165" fontId="13" fillId="7" borderId="31" xfId="0" applyNumberFormat="1" applyFont="1" applyFill="1" applyBorder="1" applyAlignment="1">
      <alignment horizontal="center" vertical="center"/>
    </xf>
    <xf numFmtId="164" fontId="35" fillId="2" borderId="18" xfId="0" applyNumberFormat="1" applyFont="1" applyFill="1" applyBorder="1" applyAlignment="1">
      <alignment horizontal="right" vertical="center"/>
    </xf>
    <xf numFmtId="0" fontId="36" fillId="0" borderId="0" xfId="0" applyNumberFormat="1" applyFont="1" applyAlignment="1"/>
    <xf numFmtId="0" fontId="37" fillId="2" borderId="18" xfId="0" applyFont="1" applyFill="1" applyBorder="1" applyAlignment="1">
      <alignment vertical="center"/>
    </xf>
    <xf numFmtId="49" fontId="13" fillId="7" borderId="51" xfId="0" applyNumberFormat="1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horizontal="center" vertical="center"/>
    </xf>
    <xf numFmtId="49" fontId="15" fillId="7" borderId="53" xfId="0" applyNumberFormat="1" applyFont="1" applyFill="1" applyBorder="1" applyAlignment="1">
      <alignment horizontal="center"/>
    </xf>
    <xf numFmtId="0" fontId="15" fillId="8" borderId="48" xfId="0" applyFont="1" applyFill="1" applyBorder="1" applyAlignment="1"/>
    <xf numFmtId="0" fontId="34" fillId="9" borderId="18" xfId="0" applyFont="1" applyFill="1" applyBorder="1" applyAlignment="1">
      <alignment vertical="center"/>
    </xf>
    <xf numFmtId="49" fontId="34" fillId="9" borderId="18" xfId="0" applyNumberFormat="1" applyFont="1" applyFill="1" applyBorder="1" applyAlignment="1"/>
    <xf numFmtId="164" fontId="38" fillId="9" borderId="18" xfId="0" applyNumberFormat="1" applyFont="1" applyFill="1" applyBorder="1" applyAlignment="1">
      <alignment horizontal="right" vertical="center"/>
    </xf>
    <xf numFmtId="9" fontId="36" fillId="9" borderId="18" xfId="10" applyFont="1" applyFill="1" applyBorder="1" applyAlignment="1"/>
    <xf numFmtId="49" fontId="34" fillId="9" borderId="18" xfId="0" applyNumberFormat="1" applyFont="1" applyFill="1" applyBorder="1" applyAlignment="1">
      <alignment vertical="center"/>
    </xf>
    <xf numFmtId="42" fontId="35" fillId="9" borderId="18" xfId="9" applyFont="1" applyFill="1" applyBorder="1" applyAlignment="1">
      <alignment horizontal="right" vertical="center"/>
    </xf>
    <xf numFmtId="9" fontId="36" fillId="9" borderId="18" xfId="0" applyNumberFormat="1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46" xfId="0" applyNumberFormat="1" applyFont="1" applyFill="1" applyBorder="1" applyAlignment="1">
      <alignment horizontal="center" vertical="center"/>
    </xf>
    <xf numFmtId="49" fontId="18" fillId="8" borderId="47" xfId="0" applyNumberFormat="1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horizontal="center" vertical="center"/>
    </xf>
    <xf numFmtId="49" fontId="39" fillId="8" borderId="46" xfId="0" applyNumberFormat="1" applyFont="1" applyFill="1" applyBorder="1" applyAlignment="1">
      <alignment vertical="center"/>
    </xf>
    <xf numFmtId="0" fontId="39" fillId="8" borderId="47" xfId="0" applyFont="1" applyFill="1" applyBorder="1" applyAlignment="1">
      <alignment vertical="center"/>
    </xf>
    <xf numFmtId="0" fontId="39" fillId="9" borderId="18" xfId="0" applyFont="1" applyFill="1" applyBorder="1" applyAlignment="1">
      <alignment horizontal="center"/>
    </xf>
  </cellXfs>
  <cellStyles count="11">
    <cellStyle name="Millares [0] 2" xfId="3"/>
    <cellStyle name="Millares 2" xfId="6"/>
    <cellStyle name="Moneda [0]" xfId="9" builtinId="7"/>
    <cellStyle name="Normal" xfId="0" builtinId="0"/>
    <cellStyle name="Normal 2" xfId="1"/>
    <cellStyle name="Normal 3" xfId="2"/>
    <cellStyle name="Normal 4" xfId="5"/>
    <cellStyle name="Normal 5" xfId="7"/>
    <cellStyle name="Porcentaje" xfId="10" builtinId="5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I142"/>
  <sheetViews>
    <sheetView showGridLines="0" tabSelected="1" topLeftCell="C1" zoomScale="130" zoomScaleNormal="130" zoomScaleSheetLayoutView="130" workbookViewId="0">
      <selection activeCell="C13" sqref="C13"/>
    </sheetView>
  </sheetViews>
  <sheetFormatPr baseColWidth="10" defaultColWidth="10.88671875" defaultRowHeight="11.25" customHeight="1"/>
  <cols>
    <col min="1" max="1" width="0" hidden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08" customWidth="1"/>
    <col min="8" max="8" width="17.6640625" style="1" customWidth="1"/>
    <col min="9" max="243" width="10.88671875" style="1" customWidth="1"/>
  </cols>
  <sheetData>
    <row r="1" spans="2:7" ht="15" customHeight="1">
      <c r="B1" s="2"/>
      <c r="C1" s="2"/>
      <c r="D1" s="2"/>
      <c r="E1" s="2"/>
      <c r="F1" s="2"/>
      <c r="G1" s="95"/>
    </row>
    <row r="2" spans="2:7" ht="15" customHeight="1">
      <c r="B2" s="2"/>
      <c r="C2" s="2"/>
      <c r="D2" s="2"/>
      <c r="E2" s="2"/>
      <c r="F2" s="2"/>
      <c r="G2" s="95"/>
    </row>
    <row r="3" spans="2:7" ht="15" customHeight="1">
      <c r="B3" s="2"/>
      <c r="C3" s="2"/>
      <c r="D3" s="2"/>
      <c r="E3" s="2"/>
      <c r="F3" s="2"/>
      <c r="G3" s="95"/>
    </row>
    <row r="4" spans="2:7" ht="15" customHeight="1">
      <c r="B4" s="2"/>
      <c r="C4" s="2"/>
      <c r="D4" s="2"/>
      <c r="E4" s="2"/>
      <c r="F4" s="2"/>
      <c r="G4" s="95"/>
    </row>
    <row r="5" spans="2:7" ht="15" customHeight="1">
      <c r="B5" s="2"/>
      <c r="C5" s="2"/>
      <c r="D5" s="2"/>
      <c r="E5" s="2"/>
      <c r="F5" s="2"/>
      <c r="G5" s="95"/>
    </row>
    <row r="6" spans="2:7" ht="15" customHeight="1">
      <c r="B6" s="2"/>
      <c r="C6" s="2"/>
      <c r="D6" s="2"/>
      <c r="E6" s="2"/>
      <c r="F6" s="2"/>
      <c r="G6" s="95"/>
    </row>
    <row r="7" spans="2:7" ht="15" customHeight="1">
      <c r="B7" s="2"/>
      <c r="C7" s="2"/>
      <c r="D7" s="2"/>
      <c r="E7" s="2"/>
      <c r="F7" s="2"/>
      <c r="G7" s="95"/>
    </row>
    <row r="8" spans="2:7" ht="15" customHeight="1">
      <c r="B8" s="3"/>
      <c r="C8" s="4"/>
      <c r="D8" s="2"/>
      <c r="E8" s="4"/>
      <c r="F8" s="4"/>
      <c r="G8" s="96"/>
    </row>
    <row r="9" spans="2:7" ht="12" customHeight="1">
      <c r="B9" s="5" t="s">
        <v>0</v>
      </c>
      <c r="C9" s="206" t="s">
        <v>100</v>
      </c>
      <c r="D9" s="6"/>
      <c r="E9" s="235" t="s">
        <v>106</v>
      </c>
      <c r="F9" s="236"/>
      <c r="G9" s="202">
        <v>560000</v>
      </c>
    </row>
    <row r="10" spans="2:7" ht="18" customHeight="1">
      <c r="B10" s="7" t="s">
        <v>1</v>
      </c>
      <c r="C10" s="200" t="s">
        <v>118</v>
      </c>
      <c r="D10" s="8"/>
      <c r="E10" s="237" t="s">
        <v>2</v>
      </c>
      <c r="F10" s="238"/>
      <c r="G10" s="203" t="s">
        <v>147</v>
      </c>
    </row>
    <row r="11" spans="2:7" ht="18" customHeight="1">
      <c r="B11" s="7" t="s">
        <v>3</v>
      </c>
      <c r="C11" s="136" t="s">
        <v>101</v>
      </c>
      <c r="D11" s="8"/>
      <c r="E11" s="237" t="s">
        <v>60</v>
      </c>
      <c r="F11" s="238"/>
      <c r="G11" s="204">
        <v>150</v>
      </c>
    </row>
    <row r="12" spans="2:7" ht="11.25" customHeight="1">
      <c r="B12" s="7" t="s">
        <v>4</v>
      </c>
      <c r="C12" s="130" t="s">
        <v>64</v>
      </c>
      <c r="D12" s="8"/>
      <c r="E12" s="10" t="s">
        <v>5</v>
      </c>
      <c r="F12" s="11"/>
      <c r="G12" s="205">
        <f>G9*G11</f>
        <v>84000000</v>
      </c>
    </row>
    <row r="13" spans="2:7" ht="11.25" customHeight="1">
      <c r="B13" s="7" t="s">
        <v>6</v>
      </c>
      <c r="C13" s="130" t="s">
        <v>168</v>
      </c>
      <c r="D13" s="8"/>
      <c r="E13" s="237" t="s">
        <v>7</v>
      </c>
      <c r="F13" s="238"/>
      <c r="G13" s="203" t="s">
        <v>119</v>
      </c>
    </row>
    <row r="14" spans="2:7" ht="13.5" customHeight="1">
      <c r="B14" s="7" t="s">
        <v>8</v>
      </c>
      <c r="C14" s="130" t="s">
        <v>169</v>
      </c>
      <c r="D14" s="8"/>
      <c r="E14" s="237" t="s">
        <v>9</v>
      </c>
      <c r="F14" s="238"/>
      <c r="G14" s="136" t="s">
        <v>147</v>
      </c>
    </row>
    <row r="15" spans="2:7" ht="25.5" customHeight="1">
      <c r="B15" s="7" t="s">
        <v>10</v>
      </c>
      <c r="C15" s="207">
        <v>44713</v>
      </c>
      <c r="D15" s="8"/>
      <c r="E15" s="239" t="s">
        <v>11</v>
      </c>
      <c r="F15" s="240"/>
      <c r="G15" s="136" t="s">
        <v>152</v>
      </c>
    </row>
    <row r="16" spans="2:7" ht="12" customHeight="1">
      <c r="B16" s="12"/>
      <c r="C16" s="13"/>
      <c r="D16" s="14"/>
      <c r="E16" s="15"/>
      <c r="F16" s="15"/>
      <c r="G16" s="97"/>
    </row>
    <row r="17" spans="2:7" ht="12" customHeight="1">
      <c r="B17" s="241" t="s">
        <v>12</v>
      </c>
      <c r="C17" s="242"/>
      <c r="D17" s="242"/>
      <c r="E17" s="242"/>
      <c r="F17" s="242"/>
      <c r="G17" s="242"/>
    </row>
    <row r="18" spans="2:7" ht="12" customHeight="1">
      <c r="B18" s="16"/>
      <c r="C18" s="17"/>
      <c r="D18" s="17"/>
      <c r="E18" s="17"/>
      <c r="F18" s="18"/>
      <c r="G18" s="98"/>
    </row>
    <row r="19" spans="2:7" ht="12" customHeight="1">
      <c r="B19" s="19" t="s">
        <v>13</v>
      </c>
      <c r="C19" s="20"/>
      <c r="D19" s="21"/>
      <c r="E19" s="21"/>
      <c r="F19" s="21"/>
      <c r="G19" s="99"/>
    </row>
    <row r="20" spans="2:7" ht="24" customHeight="1"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2:7" ht="12.75" customHeight="1">
      <c r="B21" s="9"/>
      <c r="C21" s="23"/>
      <c r="D21" s="88"/>
      <c r="E21" s="23"/>
      <c r="F21" s="121"/>
      <c r="G21" s="121"/>
    </row>
    <row r="22" spans="2:7" ht="12.75" customHeight="1">
      <c r="B22" s="131" t="s">
        <v>120</v>
      </c>
      <c r="C22" s="23"/>
      <c r="D22" s="88"/>
      <c r="E22" s="23"/>
      <c r="F22" s="121"/>
      <c r="G22" s="121"/>
    </row>
    <row r="23" spans="2:7" ht="28.5" customHeight="1">
      <c r="B23" s="153" t="s">
        <v>148</v>
      </c>
      <c r="C23" s="153" t="s">
        <v>20</v>
      </c>
      <c r="D23" s="154">
        <v>18</v>
      </c>
      <c r="E23" s="153" t="s">
        <v>65</v>
      </c>
      <c r="F23" s="155">
        <v>75000</v>
      </c>
      <c r="G23" s="155">
        <f>D23*F23/2</f>
        <v>675000</v>
      </c>
    </row>
    <row r="24" spans="2:7" ht="12.75" customHeight="1">
      <c r="B24" s="149"/>
      <c r="C24" s="150"/>
      <c r="D24" s="151"/>
      <c r="E24" s="150"/>
      <c r="F24" s="152"/>
      <c r="G24" s="152"/>
    </row>
    <row r="25" spans="2:7" ht="27.75" customHeight="1">
      <c r="B25" s="156" t="s">
        <v>121</v>
      </c>
      <c r="C25" s="23"/>
      <c r="D25" s="88"/>
      <c r="E25" s="23"/>
      <c r="F25" s="121"/>
      <c r="G25" s="121"/>
    </row>
    <row r="26" spans="2:7" ht="12.75" customHeight="1">
      <c r="B26" s="195" t="s">
        <v>67</v>
      </c>
      <c r="C26" s="140" t="s">
        <v>20</v>
      </c>
      <c r="D26" s="140">
        <f>4*6/2</f>
        <v>12</v>
      </c>
      <c r="E26" s="140" t="s">
        <v>68</v>
      </c>
      <c r="F26" s="139">
        <v>27000</v>
      </c>
      <c r="G26" s="141">
        <f>D26*F26</f>
        <v>324000</v>
      </c>
    </row>
    <row r="27" spans="2:7" ht="12.75" customHeight="1">
      <c r="B27" s="195" t="s">
        <v>69</v>
      </c>
      <c r="C27" s="138" t="s">
        <v>20</v>
      </c>
      <c r="D27" s="140">
        <f>1*6/2</f>
        <v>3</v>
      </c>
      <c r="E27" s="140" t="s">
        <v>68</v>
      </c>
      <c r="F27" s="139">
        <v>27000</v>
      </c>
      <c r="G27" s="141">
        <f t="shared" ref="G27" si="0">D27*F27</f>
        <v>81000</v>
      </c>
    </row>
    <row r="28" spans="2:7" ht="12.75" customHeight="1">
      <c r="B28" s="195" t="s">
        <v>70</v>
      </c>
      <c r="C28" s="140" t="s">
        <v>20</v>
      </c>
      <c r="D28" s="140">
        <v>2</v>
      </c>
      <c r="E28" s="140" t="s">
        <v>68</v>
      </c>
      <c r="F28" s="139">
        <v>27000</v>
      </c>
      <c r="G28" s="141">
        <f>D28*F28</f>
        <v>54000</v>
      </c>
    </row>
    <row r="29" spans="2:7" ht="12.75" customHeight="1">
      <c r="B29" s="195" t="s">
        <v>71</v>
      </c>
      <c r="C29" s="138" t="s">
        <v>20</v>
      </c>
      <c r="D29" s="138">
        <v>11</v>
      </c>
      <c r="E29" s="140" t="s">
        <v>72</v>
      </c>
      <c r="F29" s="139">
        <v>27000</v>
      </c>
      <c r="G29" s="141">
        <f t="shared" ref="G29:G30" si="1">D29*F29</f>
        <v>297000</v>
      </c>
    </row>
    <row r="30" spans="2:7" ht="12.75" customHeight="1">
      <c r="B30" s="144" t="s">
        <v>104</v>
      </c>
      <c r="C30" s="138" t="s">
        <v>20</v>
      </c>
      <c r="D30" s="138">
        <v>550</v>
      </c>
      <c r="E30" s="138" t="s">
        <v>144</v>
      </c>
      <c r="F30" s="139">
        <v>27000</v>
      </c>
      <c r="G30" s="141">
        <f t="shared" si="1"/>
        <v>14850000</v>
      </c>
    </row>
    <row r="31" spans="2:7" ht="12.75" customHeight="1">
      <c r="B31" s="195" t="s">
        <v>74</v>
      </c>
      <c r="C31" s="140" t="s">
        <v>20</v>
      </c>
      <c r="D31" s="140">
        <f>0.5*4*8+0.5*2*9</f>
        <v>25</v>
      </c>
      <c r="E31" s="140" t="s">
        <v>145</v>
      </c>
      <c r="F31" s="139">
        <v>27000</v>
      </c>
      <c r="G31" s="141">
        <f>D31*F31</f>
        <v>675000</v>
      </c>
    </row>
    <row r="32" spans="2:7" ht="12.75" customHeight="1">
      <c r="B32" s="144" t="s">
        <v>75</v>
      </c>
      <c r="C32" s="138" t="s">
        <v>20</v>
      </c>
      <c r="D32" s="142">
        <f>1.5/8*4+3/8*6*8+3*4*4</f>
        <v>66.75</v>
      </c>
      <c r="E32" s="138" t="s">
        <v>76</v>
      </c>
      <c r="F32" s="139">
        <v>27000</v>
      </c>
      <c r="G32" s="139">
        <f>D32*F32</f>
        <v>1802250</v>
      </c>
    </row>
    <row r="33" spans="2:8" ht="12.75" customHeight="1">
      <c r="B33" s="144" t="s">
        <v>77</v>
      </c>
      <c r="C33" s="138" t="s">
        <v>20</v>
      </c>
      <c r="D33" s="138">
        <f>40/60/8*30*3.5</f>
        <v>8.75</v>
      </c>
      <c r="E33" s="138" t="s">
        <v>76</v>
      </c>
      <c r="F33" s="139">
        <v>27000</v>
      </c>
      <c r="G33" s="139">
        <f t="shared" ref="G33:G36" si="2">D33*F33</f>
        <v>236250</v>
      </c>
    </row>
    <row r="34" spans="2:8" ht="12.75" customHeight="1">
      <c r="B34" s="143" t="s">
        <v>78</v>
      </c>
      <c r="C34" s="138" t="s">
        <v>20</v>
      </c>
      <c r="D34" s="138">
        <f>0.5*4*6</f>
        <v>12</v>
      </c>
      <c r="E34" s="138" t="s">
        <v>76</v>
      </c>
      <c r="F34" s="139">
        <v>27000</v>
      </c>
      <c r="G34" s="139">
        <f t="shared" si="2"/>
        <v>324000</v>
      </c>
    </row>
    <row r="35" spans="2:8" ht="12.75" customHeight="1">
      <c r="B35" s="143" t="s">
        <v>79</v>
      </c>
      <c r="C35" s="138" t="s">
        <v>20</v>
      </c>
      <c r="D35" s="138">
        <v>24</v>
      </c>
      <c r="E35" s="138" t="s">
        <v>146</v>
      </c>
      <c r="F35" s="139">
        <v>27000</v>
      </c>
      <c r="G35" s="139">
        <f t="shared" si="2"/>
        <v>648000</v>
      </c>
    </row>
    <row r="36" spans="2:8" ht="12.75" customHeight="1">
      <c r="B36" s="143" t="s">
        <v>80</v>
      </c>
      <c r="C36" s="138" t="s">
        <v>20</v>
      </c>
      <c r="D36" s="138">
        <v>20</v>
      </c>
      <c r="E36" s="138" t="s">
        <v>143</v>
      </c>
      <c r="F36" s="139">
        <v>27000</v>
      </c>
      <c r="G36" s="139">
        <f t="shared" si="2"/>
        <v>540000</v>
      </c>
      <c r="H36" s="119"/>
    </row>
    <row r="37" spans="2:8" ht="12.75" customHeight="1">
      <c r="B37" s="137"/>
      <c r="C37" s="138"/>
      <c r="D37" s="138"/>
      <c r="E37" s="138"/>
      <c r="F37" s="141"/>
      <c r="G37" s="139"/>
    </row>
    <row r="38" spans="2:8" ht="12.75" customHeight="1">
      <c r="B38" s="156" t="s">
        <v>122</v>
      </c>
      <c r="C38" s="157"/>
      <c r="D38" s="158"/>
      <c r="E38" s="157"/>
      <c r="F38" s="159"/>
      <c r="G38" s="159"/>
    </row>
    <row r="39" spans="2:8" ht="12.75" customHeight="1">
      <c r="B39" s="160" t="s">
        <v>105</v>
      </c>
      <c r="C39" s="157" t="s">
        <v>20</v>
      </c>
      <c r="D39" s="158">
        <v>230</v>
      </c>
      <c r="E39" s="157" t="s">
        <v>123</v>
      </c>
      <c r="F39" s="159">
        <v>27000</v>
      </c>
      <c r="G39" s="159">
        <f t="shared" ref="G39:G41" si="3">D39*F39</f>
        <v>6210000</v>
      </c>
      <c r="H39" s="148"/>
    </row>
    <row r="40" spans="2:8" ht="12.75" customHeight="1">
      <c r="B40" s="156" t="s">
        <v>124</v>
      </c>
      <c r="C40" s="157"/>
      <c r="D40" s="158"/>
      <c r="E40" s="157"/>
      <c r="F40" s="159"/>
      <c r="G40" s="159"/>
    </row>
    <row r="41" spans="2:8" ht="12.75" customHeight="1">
      <c r="B41" s="160" t="s">
        <v>125</v>
      </c>
      <c r="C41" s="157" t="s">
        <v>20</v>
      </c>
      <c r="D41" s="158">
        <v>175</v>
      </c>
      <c r="E41" s="157" t="s">
        <v>123</v>
      </c>
      <c r="F41" s="159">
        <v>27000</v>
      </c>
      <c r="G41" s="159">
        <f t="shared" si="3"/>
        <v>4725000</v>
      </c>
      <c r="H41" s="119"/>
    </row>
    <row r="42" spans="2:8" ht="12.75" customHeight="1">
      <c r="B42" s="160"/>
      <c r="C42" s="157"/>
      <c r="D42" s="158"/>
      <c r="E42" s="157"/>
      <c r="F42" s="159"/>
      <c r="G42" s="159"/>
    </row>
    <row r="43" spans="2:8" ht="12.75" customHeight="1">
      <c r="B43" s="24" t="s">
        <v>21</v>
      </c>
      <c r="C43" s="25"/>
      <c r="D43" s="25"/>
      <c r="E43" s="25"/>
      <c r="F43" s="26"/>
      <c r="G43" s="122">
        <f>SUM(G21:G42)</f>
        <v>31441500</v>
      </c>
    </row>
    <row r="44" spans="2:8" ht="12" customHeight="1">
      <c r="B44" s="16"/>
      <c r="C44" s="18"/>
      <c r="D44" s="18"/>
      <c r="E44" s="18"/>
      <c r="F44" s="27"/>
      <c r="G44" s="100"/>
    </row>
    <row r="45" spans="2:8" ht="12" customHeight="1">
      <c r="B45" s="28" t="s">
        <v>22</v>
      </c>
      <c r="C45" s="29"/>
      <c r="D45" s="30"/>
      <c r="E45" s="30"/>
      <c r="F45" s="31"/>
      <c r="G45" s="101"/>
    </row>
    <row r="46" spans="2:8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32" t="s">
        <v>19</v>
      </c>
    </row>
    <row r="47" spans="2:8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7"/>
      <c r="G47" s="124"/>
    </row>
    <row r="48" spans="2:8" ht="12" customHeight="1">
      <c r="B48" s="35" t="s">
        <v>23</v>
      </c>
      <c r="C48" s="36"/>
      <c r="D48" s="36"/>
      <c r="E48" s="36"/>
      <c r="F48" s="37"/>
      <c r="G48" s="125"/>
    </row>
    <row r="49" spans="2:7" ht="12" customHeight="1">
      <c r="B49" s="38"/>
      <c r="C49" s="39"/>
      <c r="D49" s="39"/>
      <c r="E49" s="39"/>
      <c r="F49" s="40"/>
      <c r="G49" s="102"/>
    </row>
    <row r="50" spans="2:7" ht="12" customHeight="1">
      <c r="B50" s="28" t="s">
        <v>24</v>
      </c>
      <c r="C50" s="29"/>
      <c r="D50" s="30"/>
      <c r="E50" s="30"/>
      <c r="F50" s="31"/>
      <c r="G50" s="101"/>
    </row>
    <row r="51" spans="2:7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41" t="s">
        <v>19</v>
      </c>
    </row>
    <row r="52" spans="2:7" ht="31.5" customHeight="1">
      <c r="B52" s="199" t="s">
        <v>149</v>
      </c>
      <c r="C52" s="196" t="s">
        <v>82</v>
      </c>
      <c r="D52" s="197">
        <f>14.5+12</f>
        <v>26.5</v>
      </c>
      <c r="E52" s="196" t="s">
        <v>72</v>
      </c>
      <c r="F52" s="198">
        <f>18000*1.19</f>
        <v>21420</v>
      </c>
      <c r="G52" s="198">
        <f>D52*F52</f>
        <v>567630</v>
      </c>
    </row>
    <row r="53" spans="2:7" ht="30.75" customHeight="1">
      <c r="B53" s="199" t="s">
        <v>83</v>
      </c>
      <c r="C53" s="196" t="s">
        <v>84</v>
      </c>
      <c r="D53" s="197">
        <f>120*48</f>
        <v>5760</v>
      </c>
      <c r="E53" s="196" t="s">
        <v>72</v>
      </c>
      <c r="F53" s="198">
        <v>381</v>
      </c>
      <c r="G53" s="198">
        <f>D53*F53</f>
        <v>2194560</v>
      </c>
    </row>
    <row r="54" spans="2:7" ht="12.75" customHeight="1">
      <c r="B54" s="9"/>
      <c r="C54" s="23"/>
      <c r="D54" s="88"/>
      <c r="E54" s="23"/>
      <c r="F54" s="121"/>
      <c r="G54" s="121"/>
    </row>
    <row r="55" spans="2:7" ht="12.75" customHeight="1">
      <c r="B55" s="43" t="s">
        <v>25</v>
      </c>
      <c r="C55" s="44"/>
      <c r="D55" s="44"/>
      <c r="E55" s="44"/>
      <c r="F55" s="44"/>
      <c r="G55" s="123">
        <f>G52+G53+G54</f>
        <v>2762190</v>
      </c>
    </row>
    <row r="56" spans="2:7" ht="12" customHeight="1">
      <c r="B56" s="38"/>
      <c r="C56" s="39"/>
      <c r="D56" s="39"/>
      <c r="E56" s="39"/>
      <c r="F56" s="40"/>
      <c r="G56" s="102"/>
    </row>
    <row r="57" spans="2:7" ht="12" customHeight="1">
      <c r="B57" s="28" t="s">
        <v>26</v>
      </c>
      <c r="C57" s="29"/>
      <c r="D57" s="30"/>
      <c r="E57" s="30"/>
      <c r="F57" s="31"/>
      <c r="G57" s="101"/>
    </row>
    <row r="58" spans="2:7" ht="24" customHeight="1">
      <c r="B58" s="90" t="s">
        <v>27</v>
      </c>
      <c r="C58" s="90" t="s">
        <v>28</v>
      </c>
      <c r="D58" s="90" t="s">
        <v>29</v>
      </c>
      <c r="E58" s="90" t="s">
        <v>17</v>
      </c>
      <c r="F58" s="90" t="s">
        <v>18</v>
      </c>
      <c r="G58" s="103" t="s">
        <v>19</v>
      </c>
    </row>
    <row r="59" spans="2:7" ht="12.75" customHeight="1">
      <c r="B59" s="128" t="s">
        <v>126</v>
      </c>
      <c r="C59" s="93"/>
      <c r="D59" s="92"/>
      <c r="E59" s="93"/>
      <c r="F59" s="93"/>
      <c r="G59" s="92"/>
    </row>
    <row r="60" spans="2:7" ht="26.25" customHeight="1">
      <c r="B60" s="165" t="s">
        <v>155</v>
      </c>
      <c r="C60" s="167" t="s">
        <v>59</v>
      </c>
      <c r="D60" s="168">
        <f>2850-500</f>
        <v>2350</v>
      </c>
      <c r="E60" s="167" t="s">
        <v>66</v>
      </c>
      <c r="F60" s="169">
        <v>4403</v>
      </c>
      <c r="G60" s="169">
        <f>D60*F60/2</f>
        <v>5173525</v>
      </c>
    </row>
    <row r="61" spans="2:7" ht="31.5" customHeight="1">
      <c r="B61" s="165" t="s">
        <v>156</v>
      </c>
      <c r="C61" s="167" t="s">
        <v>85</v>
      </c>
      <c r="D61" s="168">
        <v>500</v>
      </c>
      <c r="E61" s="167" t="s">
        <v>66</v>
      </c>
      <c r="F61" s="169">
        <f>2950*1.19</f>
        <v>3510.5</v>
      </c>
      <c r="G61" s="169">
        <f>D61*F61</f>
        <v>1755250</v>
      </c>
    </row>
    <row r="62" spans="2:7" ht="27.75" customHeight="1">
      <c r="B62" s="165" t="s">
        <v>157</v>
      </c>
      <c r="C62" s="167" t="s">
        <v>59</v>
      </c>
      <c r="D62" s="168">
        <v>330</v>
      </c>
      <c r="E62" s="167" t="s">
        <v>66</v>
      </c>
      <c r="F62" s="169">
        <f>3700*1.19</f>
        <v>4403</v>
      </c>
      <c r="G62" s="169">
        <f>D62*F62/2</f>
        <v>726495</v>
      </c>
    </row>
    <row r="63" spans="2:7" ht="30" customHeight="1">
      <c r="B63" s="165" t="s">
        <v>160</v>
      </c>
      <c r="C63" s="167" t="s">
        <v>59</v>
      </c>
      <c r="D63" s="168">
        <v>230</v>
      </c>
      <c r="E63" s="167" t="s">
        <v>66</v>
      </c>
      <c r="F63" s="169">
        <f>3700*1.19</f>
        <v>4403</v>
      </c>
      <c r="G63" s="169">
        <f>D63*F63/2</f>
        <v>506345</v>
      </c>
    </row>
    <row r="64" spans="2:7" ht="30" customHeight="1">
      <c r="B64" s="165" t="s">
        <v>159</v>
      </c>
      <c r="C64" s="167" t="s">
        <v>59</v>
      </c>
      <c r="D64" s="168">
        <v>215</v>
      </c>
      <c r="E64" s="167" t="s">
        <v>66</v>
      </c>
      <c r="F64" s="169">
        <f>3700*1.19</f>
        <v>4403</v>
      </c>
      <c r="G64" s="169">
        <f>D64*F64/2</f>
        <v>473322.5</v>
      </c>
    </row>
    <row r="65" spans="2:8" ht="29.25" customHeight="1">
      <c r="B65" s="165" t="s">
        <v>158</v>
      </c>
      <c r="C65" s="167" t="s">
        <v>59</v>
      </c>
      <c r="D65" s="168">
        <v>80</v>
      </c>
      <c r="E65" s="167" t="s">
        <v>66</v>
      </c>
      <c r="F65" s="169">
        <f>2950*1.19</f>
        <v>3510.5</v>
      </c>
      <c r="G65" s="169">
        <f>D65*F65/1</f>
        <v>280840</v>
      </c>
    </row>
    <row r="66" spans="2:8" ht="27" customHeight="1">
      <c r="B66" s="165" t="s">
        <v>161</v>
      </c>
      <c r="C66" s="167" t="s">
        <v>127</v>
      </c>
      <c r="D66" s="168">
        <v>14</v>
      </c>
      <c r="E66" s="167" t="s">
        <v>66</v>
      </c>
      <c r="F66" s="169">
        <v>250000</v>
      </c>
      <c r="G66" s="169">
        <f>D66*F66/4</f>
        <v>875000</v>
      </c>
    </row>
    <row r="67" spans="2:8" ht="36.75" customHeight="1">
      <c r="B67" s="170" t="s">
        <v>162</v>
      </c>
      <c r="C67" s="171" t="s">
        <v>128</v>
      </c>
      <c r="D67" s="172">
        <v>4</v>
      </c>
      <c r="E67" s="167" t="s">
        <v>66</v>
      </c>
      <c r="F67" s="173">
        <v>52836</v>
      </c>
      <c r="G67" s="174">
        <f>D67*F67/4</f>
        <v>52836</v>
      </c>
    </row>
    <row r="68" spans="2:8" ht="36.75" customHeight="1">
      <c r="B68" s="165" t="s">
        <v>163</v>
      </c>
      <c r="C68" s="167" t="s">
        <v>59</v>
      </c>
      <c r="D68" s="168">
        <v>420</v>
      </c>
      <c r="E68" s="167" t="s">
        <v>66</v>
      </c>
      <c r="F68" s="169">
        <f>2950*1.19</f>
        <v>3510.5</v>
      </c>
      <c r="G68" s="169">
        <f>D68*F68</f>
        <v>1474410</v>
      </c>
      <c r="H68" s="119">
        <f>SUM(G60:G68)</f>
        <v>11318023.5</v>
      </c>
    </row>
    <row r="69" spans="2:8" ht="12.75" customHeight="1">
      <c r="B69" s="175" t="s">
        <v>167</v>
      </c>
      <c r="C69" s="176"/>
      <c r="D69" s="177"/>
      <c r="E69" s="176"/>
      <c r="F69" s="178"/>
      <c r="G69" s="178"/>
    </row>
    <row r="70" spans="2:8" ht="34.5" customHeight="1">
      <c r="B70" s="179" t="s">
        <v>164</v>
      </c>
      <c r="C70" s="167" t="s">
        <v>84</v>
      </c>
      <c r="D70" s="168">
        <v>11520</v>
      </c>
      <c r="E70" s="167" t="s">
        <v>73</v>
      </c>
      <c r="F70" s="169">
        <f>42*1.19</f>
        <v>49.98</v>
      </c>
      <c r="G70" s="169">
        <f>D70*F70/1</f>
        <v>575769.59999999998</v>
      </c>
    </row>
    <row r="71" spans="2:8" ht="25.5" customHeight="1">
      <c r="B71" s="165" t="s">
        <v>86</v>
      </c>
      <c r="C71" s="162" t="s">
        <v>59</v>
      </c>
      <c r="D71" s="166">
        <v>40.510127531882972</v>
      </c>
      <c r="E71" s="162" t="s">
        <v>99</v>
      </c>
      <c r="F71" s="164">
        <f>4202*1.19</f>
        <v>5000.38</v>
      </c>
      <c r="G71" s="164">
        <f>D71*F71</f>
        <v>202566.03150787699</v>
      </c>
    </row>
    <row r="72" spans="2:8" ht="27" customHeight="1">
      <c r="B72" s="165" t="s">
        <v>165</v>
      </c>
      <c r="C72" s="162" t="s">
        <v>129</v>
      </c>
      <c r="D72" s="166">
        <v>1</v>
      </c>
      <c r="E72" s="162" t="s">
        <v>130</v>
      </c>
      <c r="F72" s="164">
        <v>10000000</v>
      </c>
      <c r="G72" s="164">
        <f>D72*F72/4</f>
        <v>2500000</v>
      </c>
      <c r="H72" s="119"/>
    </row>
    <row r="73" spans="2:8" ht="12.75" customHeight="1">
      <c r="B73" s="128" t="s">
        <v>131</v>
      </c>
      <c r="C73" s="89"/>
      <c r="D73" s="91"/>
      <c r="E73" s="89"/>
      <c r="F73" s="92"/>
      <c r="G73" s="92"/>
    </row>
    <row r="74" spans="2:8" ht="12.75" customHeight="1">
      <c r="B74" s="201" t="s">
        <v>150</v>
      </c>
      <c r="C74" s="147" t="s">
        <v>58</v>
      </c>
      <c r="D74" s="145">
        <v>28000</v>
      </c>
      <c r="E74" s="147" t="s">
        <v>72</v>
      </c>
      <c r="F74" s="146">
        <v>250</v>
      </c>
      <c r="G74" s="146">
        <f>D74*F74</f>
        <v>7000000</v>
      </c>
      <c r="H74" s="119"/>
    </row>
    <row r="75" spans="2:8" ht="12.75" customHeight="1">
      <c r="B75" s="179"/>
      <c r="C75" s="162"/>
      <c r="D75" s="163"/>
      <c r="E75" s="162"/>
      <c r="F75" s="164"/>
      <c r="G75" s="164"/>
    </row>
    <row r="76" spans="2:8" ht="12.75" customHeight="1">
      <c r="B76" s="129" t="s">
        <v>57</v>
      </c>
      <c r="C76" s="89"/>
      <c r="D76" s="91"/>
      <c r="E76" s="89"/>
      <c r="F76" s="92"/>
      <c r="G76" s="92"/>
    </row>
    <row r="77" spans="2:8" ht="12.75" customHeight="1">
      <c r="B77" s="161" t="s">
        <v>87</v>
      </c>
      <c r="C77" s="162" t="s">
        <v>88</v>
      </c>
      <c r="D77" s="163">
        <v>50</v>
      </c>
      <c r="E77" s="162" t="s">
        <v>72</v>
      </c>
      <c r="F77" s="164">
        <v>8000</v>
      </c>
      <c r="G77" s="164">
        <f t="shared" ref="G77:G101" si="4">D77*F77</f>
        <v>400000</v>
      </c>
    </row>
    <row r="78" spans="2:8" ht="12.75" customHeight="1">
      <c r="B78" s="161" t="s">
        <v>89</v>
      </c>
      <c r="C78" s="162" t="s">
        <v>85</v>
      </c>
      <c r="D78" s="163">
        <v>250</v>
      </c>
      <c r="E78" s="162" t="s">
        <v>72</v>
      </c>
      <c r="F78" s="164">
        <f>897*1.19</f>
        <v>1067.43</v>
      </c>
      <c r="G78" s="164">
        <f t="shared" si="4"/>
        <v>266857.5</v>
      </c>
    </row>
    <row r="79" spans="2:8" ht="12.75" customHeight="1">
      <c r="B79" s="161" t="s">
        <v>90</v>
      </c>
      <c r="C79" s="162" t="s">
        <v>85</v>
      </c>
      <c r="D79" s="163">
        <v>200</v>
      </c>
      <c r="E79" s="162" t="s">
        <v>91</v>
      </c>
      <c r="F79" s="164">
        <f>2020*1.19</f>
        <v>2403.7999999999997</v>
      </c>
      <c r="G79" s="164">
        <f t="shared" si="4"/>
        <v>480759.99999999994</v>
      </c>
    </row>
    <row r="80" spans="2:8" ht="12.75" customHeight="1">
      <c r="B80" s="161" t="s">
        <v>92</v>
      </c>
      <c r="C80" s="162" t="s">
        <v>93</v>
      </c>
      <c r="D80" s="163">
        <v>1300</v>
      </c>
      <c r="E80" s="162" t="s">
        <v>76</v>
      </c>
      <c r="F80" s="164">
        <v>1946</v>
      </c>
      <c r="G80" s="164">
        <f t="shared" si="4"/>
        <v>2529800</v>
      </c>
    </row>
    <row r="81" spans="2:8" ht="12.75" customHeight="1">
      <c r="B81" s="161" t="s">
        <v>94</v>
      </c>
      <c r="C81" s="162" t="s">
        <v>85</v>
      </c>
      <c r="D81" s="163">
        <v>450</v>
      </c>
      <c r="E81" s="162" t="s">
        <v>76</v>
      </c>
      <c r="F81" s="164">
        <f>666*1.19</f>
        <v>792.54</v>
      </c>
      <c r="G81" s="164">
        <f t="shared" si="4"/>
        <v>356643</v>
      </c>
    </row>
    <row r="82" spans="2:8" ht="12.75" customHeight="1">
      <c r="B82" s="161" t="s">
        <v>95</v>
      </c>
      <c r="C82" s="162" t="s">
        <v>85</v>
      </c>
      <c r="D82" s="163">
        <v>100</v>
      </c>
      <c r="E82" s="162" t="s">
        <v>76</v>
      </c>
      <c r="F82" s="164">
        <f>598*1.19</f>
        <v>711.62</v>
      </c>
      <c r="G82" s="164">
        <f t="shared" si="4"/>
        <v>71162</v>
      </c>
    </row>
    <row r="83" spans="2:8" ht="12.75" customHeight="1">
      <c r="B83" s="161" t="s">
        <v>96</v>
      </c>
      <c r="C83" s="162" t="s">
        <v>85</v>
      </c>
      <c r="D83" s="163">
        <v>100</v>
      </c>
      <c r="E83" s="162" t="s">
        <v>76</v>
      </c>
      <c r="F83" s="164">
        <f>1610*1.19</f>
        <v>1915.8999999999999</v>
      </c>
      <c r="G83" s="164">
        <f t="shared" si="4"/>
        <v>191590</v>
      </c>
    </row>
    <row r="84" spans="2:8" ht="12.75" customHeight="1">
      <c r="B84" s="161" t="s">
        <v>97</v>
      </c>
      <c r="C84" s="162" t="s">
        <v>85</v>
      </c>
      <c r="D84" s="163">
        <v>100</v>
      </c>
      <c r="E84" s="162" t="s">
        <v>76</v>
      </c>
      <c r="F84" s="164">
        <f>1610*1.19</f>
        <v>1915.8999999999999</v>
      </c>
      <c r="G84" s="164">
        <f t="shared" si="4"/>
        <v>191590</v>
      </c>
      <c r="H84" s="119"/>
    </row>
    <row r="85" spans="2:8" ht="12.75" customHeight="1">
      <c r="B85" s="161"/>
      <c r="C85" s="162"/>
      <c r="D85" s="163"/>
      <c r="E85" s="162"/>
      <c r="F85" s="164"/>
      <c r="G85" s="164"/>
    </row>
    <row r="86" spans="2:8" ht="12.75" customHeight="1">
      <c r="B86" s="128" t="s">
        <v>132</v>
      </c>
      <c r="C86" s="89"/>
      <c r="D86" s="91"/>
      <c r="E86" s="89"/>
      <c r="F86" s="92"/>
      <c r="G86" s="92"/>
    </row>
    <row r="87" spans="2:8" ht="12.75" customHeight="1">
      <c r="B87" s="180" t="s">
        <v>98</v>
      </c>
      <c r="C87" s="89"/>
      <c r="D87" s="91"/>
      <c r="E87" s="89"/>
      <c r="F87" s="92"/>
      <c r="G87" s="92"/>
    </row>
    <row r="88" spans="2:8" ht="12.75" customHeight="1">
      <c r="B88" s="215" t="s">
        <v>107</v>
      </c>
      <c r="C88" s="216" t="s">
        <v>85</v>
      </c>
      <c r="D88" s="217">
        <v>0.5</v>
      </c>
      <c r="E88" s="216" t="s">
        <v>76</v>
      </c>
      <c r="F88" s="218">
        <f>37699*1.19*5</f>
        <v>224309.05</v>
      </c>
      <c r="G88" s="218">
        <f t="shared" si="4"/>
        <v>112154.52499999999</v>
      </c>
    </row>
    <row r="89" spans="2:8" ht="12.75" customHeight="1">
      <c r="B89" s="215" t="s">
        <v>108</v>
      </c>
      <c r="C89" s="216" t="s">
        <v>85</v>
      </c>
      <c r="D89" s="217">
        <v>2</v>
      </c>
      <c r="E89" s="216" t="s">
        <v>76</v>
      </c>
      <c r="F89" s="218">
        <f>17604*1.19*5</f>
        <v>104743.79999999999</v>
      </c>
      <c r="G89" s="218">
        <f>D89*F89</f>
        <v>209487.59999999998</v>
      </c>
    </row>
    <row r="90" spans="2:8" ht="12.75" customHeight="1">
      <c r="B90" s="134" t="s">
        <v>109</v>
      </c>
      <c r="C90" s="132" t="s">
        <v>103</v>
      </c>
      <c r="D90" s="135">
        <v>1</v>
      </c>
      <c r="E90" s="133" t="s">
        <v>153</v>
      </c>
      <c r="F90" s="208">
        <f>85452*1.19</f>
        <v>101687.87999999999</v>
      </c>
      <c r="G90" s="218">
        <f>D90*F90</f>
        <v>101687.87999999999</v>
      </c>
    </row>
    <row r="91" spans="2:8" ht="12.75" customHeight="1">
      <c r="B91" s="214" t="s">
        <v>110</v>
      </c>
      <c r="C91" s="210" t="s">
        <v>103</v>
      </c>
      <c r="D91" s="211">
        <f>6</f>
        <v>6</v>
      </c>
      <c r="E91" s="209" t="s">
        <v>154</v>
      </c>
      <c r="F91" s="212">
        <f>23248*1.19</f>
        <v>27665.119999999999</v>
      </c>
      <c r="G91" s="218">
        <f t="shared" ref="G91:G93" si="5">D91*F91</f>
        <v>165990.72</v>
      </c>
    </row>
    <row r="92" spans="2:8" ht="12.75" customHeight="1">
      <c r="B92" s="214" t="s">
        <v>111</v>
      </c>
      <c r="C92" s="209" t="s">
        <v>103</v>
      </c>
      <c r="D92" s="211">
        <v>2</v>
      </c>
      <c r="E92" s="209" t="s">
        <v>154</v>
      </c>
      <c r="F92" s="213">
        <f>81556*1.19</f>
        <v>97051.64</v>
      </c>
      <c r="G92" s="218">
        <f t="shared" si="5"/>
        <v>194103.28</v>
      </c>
    </row>
    <row r="93" spans="2:8" ht="12.75" customHeight="1">
      <c r="B93" s="214" t="s">
        <v>112</v>
      </c>
      <c r="C93" s="209" t="s">
        <v>102</v>
      </c>
      <c r="D93" s="211">
        <v>2</v>
      </c>
      <c r="E93" s="209" t="s">
        <v>154</v>
      </c>
      <c r="F93" s="213">
        <f>66600*1.19</f>
        <v>79254</v>
      </c>
      <c r="G93" s="218">
        <f t="shared" si="5"/>
        <v>158508</v>
      </c>
      <c r="H93" s="119"/>
    </row>
    <row r="94" spans="2:8" ht="12.75" customHeight="1">
      <c r="B94" s="181"/>
      <c r="C94" s="182"/>
      <c r="D94" s="183"/>
      <c r="E94" s="182"/>
      <c r="F94" s="184"/>
      <c r="G94" s="184"/>
    </row>
    <row r="95" spans="2:8" ht="12.75" customHeight="1">
      <c r="C95" s="182"/>
      <c r="D95" s="183"/>
      <c r="E95" s="182"/>
      <c r="F95" s="184"/>
      <c r="G95" s="184"/>
    </row>
    <row r="96" spans="2:8" ht="12.75" customHeight="1">
      <c r="B96" s="181" t="s">
        <v>133</v>
      </c>
      <c r="C96" s="182"/>
      <c r="D96" s="183"/>
      <c r="E96" s="182"/>
      <c r="F96" s="184"/>
      <c r="G96" s="184"/>
    </row>
    <row r="97" spans="2:8" ht="12.75" customHeight="1">
      <c r="B97" s="215" t="s">
        <v>113</v>
      </c>
      <c r="C97" s="216" t="s">
        <v>85</v>
      </c>
      <c r="D97" s="217">
        <v>0.5</v>
      </c>
      <c r="E97" s="216" t="s">
        <v>72</v>
      </c>
      <c r="F97" s="218">
        <f>68153*1.19</f>
        <v>81102.069999999992</v>
      </c>
      <c r="G97" s="218">
        <f t="shared" si="4"/>
        <v>40551.034999999996</v>
      </c>
    </row>
    <row r="98" spans="2:8" ht="12.75" customHeight="1">
      <c r="B98" s="215" t="s">
        <v>115</v>
      </c>
      <c r="C98" s="216" t="s">
        <v>85</v>
      </c>
      <c r="D98" s="217">
        <v>1</v>
      </c>
      <c r="E98" s="216" t="s">
        <v>134</v>
      </c>
      <c r="F98" s="218">
        <f>146901*1.19</f>
        <v>174812.19</v>
      </c>
      <c r="G98" s="218">
        <f t="shared" si="4"/>
        <v>174812.19</v>
      </c>
    </row>
    <row r="99" spans="2:8" ht="12.75" customHeight="1">
      <c r="B99" s="215" t="s">
        <v>135</v>
      </c>
      <c r="C99" s="216" t="s">
        <v>85</v>
      </c>
      <c r="D99" s="217">
        <v>1</v>
      </c>
      <c r="E99" s="216" t="s">
        <v>136</v>
      </c>
      <c r="F99" s="218">
        <f>87311*1.19</f>
        <v>103900.09</v>
      </c>
      <c r="G99" s="218">
        <f t="shared" si="4"/>
        <v>103900.09</v>
      </c>
    </row>
    <row r="100" spans="2:8" ht="12.75" customHeight="1">
      <c r="B100" s="215" t="s">
        <v>116</v>
      </c>
      <c r="C100" s="216" t="s">
        <v>102</v>
      </c>
      <c r="D100" s="217">
        <v>5</v>
      </c>
      <c r="E100" s="216" t="s">
        <v>151</v>
      </c>
      <c r="F100" s="218">
        <f>1728*1.19</f>
        <v>2056.3199999999997</v>
      </c>
      <c r="G100" s="218">
        <f t="shared" si="4"/>
        <v>10281.599999999999</v>
      </c>
    </row>
    <row r="101" spans="2:8" ht="12.75" customHeight="1">
      <c r="B101" s="134" t="s">
        <v>114</v>
      </c>
      <c r="C101" s="216" t="s">
        <v>85</v>
      </c>
      <c r="D101" s="217">
        <v>1</v>
      </c>
      <c r="E101" s="216" t="s">
        <v>137</v>
      </c>
      <c r="F101" s="218">
        <f>33929*1.19</f>
        <v>40375.509999999995</v>
      </c>
      <c r="G101" s="218">
        <f t="shared" si="4"/>
        <v>40375.509999999995</v>
      </c>
      <c r="H101" s="119"/>
    </row>
    <row r="102" spans="2:8" ht="12.75" customHeight="1">
      <c r="B102" s="185"/>
      <c r="C102" s="186"/>
      <c r="D102" s="187"/>
      <c r="E102" s="188"/>
      <c r="F102" s="189"/>
      <c r="G102" s="189"/>
    </row>
    <row r="103" spans="2:8" ht="12.75" customHeight="1">
      <c r="B103" s="129" t="s">
        <v>138</v>
      </c>
      <c r="C103" s="89"/>
      <c r="D103" s="91"/>
      <c r="E103" s="89"/>
      <c r="F103" s="92"/>
      <c r="G103" s="92"/>
    </row>
    <row r="104" spans="2:8" ht="12.75" customHeight="1">
      <c r="B104" s="190" t="s">
        <v>117</v>
      </c>
      <c r="C104" s="191" t="s">
        <v>139</v>
      </c>
      <c r="D104" s="192">
        <f>2/2</f>
        <v>1</v>
      </c>
      <c r="E104" s="188" t="s">
        <v>99</v>
      </c>
      <c r="F104" s="192">
        <f>56000*1.19</f>
        <v>66640</v>
      </c>
      <c r="G104" s="192">
        <f>F104*D104</f>
        <v>66640</v>
      </c>
      <c r="H104" s="119"/>
    </row>
    <row r="105" spans="2:8" ht="12.75" customHeight="1">
      <c r="B105" s="94"/>
      <c r="C105" s="89"/>
      <c r="D105" s="91"/>
      <c r="E105" s="89"/>
      <c r="F105" s="92"/>
      <c r="G105" s="92"/>
    </row>
    <row r="106" spans="2:8" ht="13.5" customHeight="1">
      <c r="B106" s="116" t="s">
        <v>30</v>
      </c>
      <c r="C106" s="117"/>
      <c r="D106" s="117"/>
      <c r="E106" s="117"/>
      <c r="F106" s="118"/>
      <c r="G106" s="126">
        <f>SUM(G59:G105)</f>
        <v>27463254.061507881</v>
      </c>
    </row>
    <row r="107" spans="2:8" ht="12" customHeight="1">
      <c r="B107" s="111"/>
      <c r="C107" s="112"/>
      <c r="D107" s="112"/>
      <c r="E107" s="113"/>
      <c r="F107" s="114"/>
      <c r="G107" s="115"/>
    </row>
    <row r="108" spans="2:8" ht="12" customHeight="1">
      <c r="B108" s="28" t="s">
        <v>31</v>
      </c>
      <c r="C108" s="29"/>
      <c r="D108" s="30"/>
      <c r="E108" s="30"/>
      <c r="F108" s="31"/>
      <c r="G108" s="101"/>
    </row>
    <row r="109" spans="2:8" ht="24" customHeight="1">
      <c r="B109" s="110" t="s">
        <v>32</v>
      </c>
      <c r="C109" s="90" t="s">
        <v>28</v>
      </c>
      <c r="D109" s="90" t="s">
        <v>29</v>
      </c>
      <c r="E109" s="110" t="s">
        <v>17</v>
      </c>
      <c r="F109" s="90" t="s">
        <v>18</v>
      </c>
      <c r="G109" s="110" t="s">
        <v>19</v>
      </c>
    </row>
    <row r="110" spans="2:8" ht="16.5" customHeight="1">
      <c r="B110" s="193" t="s">
        <v>140</v>
      </c>
      <c r="C110" s="193" t="s">
        <v>141</v>
      </c>
      <c r="D110" s="193">
        <v>10</v>
      </c>
      <c r="E110" s="193" t="s">
        <v>166</v>
      </c>
      <c r="F110" s="194">
        <v>100000</v>
      </c>
      <c r="G110" s="194">
        <f t="shared" ref="G110" si="6">F110*D110</f>
        <v>1000000</v>
      </c>
    </row>
    <row r="111" spans="2:8" ht="13.5" customHeight="1">
      <c r="B111" s="45" t="s">
        <v>33</v>
      </c>
      <c r="C111" s="46"/>
      <c r="D111" s="46"/>
      <c r="E111" s="109"/>
      <c r="F111" s="47"/>
      <c r="G111" s="127">
        <f>SUM(G110)</f>
        <v>1000000</v>
      </c>
    </row>
    <row r="112" spans="2:8" ht="12" customHeight="1">
      <c r="B112" s="57"/>
      <c r="C112" s="57"/>
      <c r="D112" s="57"/>
      <c r="E112" s="57"/>
      <c r="F112" s="58"/>
      <c r="G112" s="104"/>
    </row>
    <row r="113" spans="2:7" ht="12" customHeight="1">
      <c r="B113" s="59" t="s">
        <v>34</v>
      </c>
      <c r="C113" s="60"/>
      <c r="D113" s="60"/>
      <c r="E113" s="60"/>
      <c r="F113" s="60"/>
      <c r="G113" s="61">
        <f>G43+G48+G55+G106+G111</f>
        <v>62666944.061507881</v>
      </c>
    </row>
    <row r="114" spans="2:7" ht="12" customHeight="1">
      <c r="B114" s="62" t="s">
        <v>35</v>
      </c>
      <c r="C114" s="49"/>
      <c r="D114" s="49"/>
      <c r="E114" s="49"/>
      <c r="F114" s="49"/>
      <c r="G114" s="63">
        <f>G113*0.05</f>
        <v>3133347.203075394</v>
      </c>
    </row>
    <row r="115" spans="2:7" ht="12" customHeight="1">
      <c r="B115" s="64" t="s">
        <v>36</v>
      </c>
      <c r="C115" s="48"/>
      <c r="D115" s="48"/>
      <c r="E115" s="48"/>
      <c r="F115" s="48"/>
      <c r="G115" s="65">
        <f>G114+G113</f>
        <v>65800291.264583275</v>
      </c>
    </row>
    <row r="116" spans="2:7" ht="12" customHeight="1">
      <c r="B116" s="62" t="s">
        <v>37</v>
      </c>
      <c r="C116" s="49"/>
      <c r="D116" s="49"/>
      <c r="E116" s="49"/>
      <c r="F116" s="49"/>
      <c r="G116" s="63">
        <f>G12</f>
        <v>84000000</v>
      </c>
    </row>
    <row r="117" spans="2:7" ht="12" customHeight="1">
      <c r="B117" s="66" t="s">
        <v>38</v>
      </c>
      <c r="C117" s="67"/>
      <c r="D117" s="67"/>
      <c r="E117" s="67"/>
      <c r="F117" s="67"/>
      <c r="G117" s="61">
        <f>G116-G115</f>
        <v>18199708.735416725</v>
      </c>
    </row>
    <row r="118" spans="2:7" ht="12" customHeight="1">
      <c r="B118" s="55" t="s">
        <v>39</v>
      </c>
      <c r="C118" s="56"/>
      <c r="D118" s="56"/>
      <c r="E118" s="56"/>
      <c r="F118" s="56"/>
      <c r="G118" s="105"/>
    </row>
    <row r="119" spans="2:7" ht="12.75" customHeight="1" thickBot="1">
      <c r="B119" s="68"/>
      <c r="C119" s="56"/>
      <c r="D119" s="56"/>
      <c r="E119" s="56"/>
      <c r="F119" s="56"/>
      <c r="G119" s="105"/>
    </row>
    <row r="120" spans="2:7" ht="12" customHeight="1">
      <c r="B120" s="77" t="s">
        <v>40</v>
      </c>
      <c r="C120" s="78"/>
      <c r="D120" s="78"/>
      <c r="E120" s="78"/>
      <c r="F120" s="79"/>
      <c r="G120" s="105"/>
    </row>
    <row r="121" spans="2:7" ht="12" customHeight="1">
      <c r="B121" s="80" t="s">
        <v>41</v>
      </c>
      <c r="C121" s="54"/>
      <c r="D121" s="54"/>
      <c r="E121" s="54"/>
      <c r="F121" s="81"/>
      <c r="G121" s="105"/>
    </row>
    <row r="122" spans="2:7" ht="12" customHeight="1">
      <c r="B122" s="80" t="s">
        <v>42</v>
      </c>
      <c r="C122" s="54"/>
      <c r="D122" s="54"/>
      <c r="E122" s="54"/>
      <c r="F122" s="81"/>
      <c r="G122" s="105"/>
    </row>
    <row r="123" spans="2:7" ht="12" customHeight="1">
      <c r="B123" s="80" t="s">
        <v>43</v>
      </c>
      <c r="C123" s="54"/>
      <c r="D123" s="54"/>
      <c r="E123" s="54"/>
      <c r="F123" s="81"/>
      <c r="G123" s="105"/>
    </row>
    <row r="124" spans="2:7" ht="12" customHeight="1">
      <c r="B124" s="80" t="s">
        <v>44</v>
      </c>
      <c r="C124" s="54"/>
      <c r="D124" s="54"/>
      <c r="E124" s="54"/>
      <c r="F124" s="81"/>
      <c r="G124" s="105"/>
    </row>
    <row r="125" spans="2:7" ht="12" customHeight="1">
      <c r="B125" s="80" t="s">
        <v>45</v>
      </c>
      <c r="C125" s="54"/>
      <c r="D125" s="54"/>
      <c r="E125" s="54"/>
      <c r="F125" s="81"/>
      <c r="G125" s="105"/>
    </row>
    <row r="126" spans="2:7" ht="12.75" customHeight="1" thickBot="1">
      <c r="B126" s="82" t="s">
        <v>46</v>
      </c>
      <c r="C126" s="83"/>
      <c r="D126" s="83"/>
      <c r="E126" s="83"/>
      <c r="F126" s="84"/>
      <c r="G126" s="105"/>
    </row>
    <row r="127" spans="2:7" ht="12.75" customHeight="1" thickBot="1">
      <c r="B127" s="75"/>
      <c r="C127" s="54"/>
      <c r="D127" s="54"/>
      <c r="E127" s="54"/>
      <c r="F127" s="54"/>
      <c r="G127" s="105"/>
    </row>
    <row r="128" spans="2:7" ht="15" customHeight="1" thickBot="1">
      <c r="B128" s="246" t="s">
        <v>47</v>
      </c>
      <c r="C128" s="247"/>
      <c r="D128" s="227"/>
      <c r="E128" s="50"/>
    </row>
    <row r="129" spans="2:8" ht="12" customHeight="1">
      <c r="B129" s="224" t="s">
        <v>32</v>
      </c>
      <c r="C129" s="225" t="s">
        <v>142</v>
      </c>
      <c r="D129" s="226" t="s">
        <v>48</v>
      </c>
      <c r="E129" s="50"/>
      <c r="F129" s="248"/>
      <c r="G129" s="248"/>
      <c r="H129" s="248"/>
    </row>
    <row r="130" spans="2:8" ht="12" customHeight="1">
      <c r="B130" s="70" t="s">
        <v>49</v>
      </c>
      <c r="C130" s="51">
        <f>G43</f>
        <v>31441500</v>
      </c>
      <c r="D130" s="71">
        <f>(C130/C136)</f>
        <v>0.47783223137377284</v>
      </c>
      <c r="E130" s="50"/>
      <c r="F130" s="229"/>
      <c r="G130" s="230"/>
      <c r="H130" s="231"/>
    </row>
    <row r="131" spans="2:8" ht="12" customHeight="1">
      <c r="B131" s="70" t="s">
        <v>50</v>
      </c>
      <c r="C131" s="51">
        <f>G48</f>
        <v>0</v>
      </c>
      <c r="D131" s="71">
        <v>0</v>
      </c>
      <c r="E131" s="50"/>
      <c r="F131" s="229"/>
      <c r="G131" s="230"/>
      <c r="H131" s="231"/>
    </row>
    <row r="132" spans="2:8" ht="12" customHeight="1">
      <c r="B132" s="70" t="s">
        <v>51</v>
      </c>
      <c r="C132" s="51">
        <f>G55</f>
        <v>2762190</v>
      </c>
      <c r="D132" s="71">
        <f>(C132/C136)</f>
        <v>4.1978385610684017E-2</v>
      </c>
      <c r="E132" s="50"/>
      <c r="F132" s="229"/>
      <c r="G132" s="230"/>
      <c r="H132" s="231"/>
    </row>
    <row r="133" spans="2:8" ht="12" customHeight="1">
      <c r="B133" s="70" t="s">
        <v>27</v>
      </c>
      <c r="C133" s="51">
        <f>G106</f>
        <v>27463254.061507881</v>
      </c>
      <c r="D133" s="71">
        <f>(C133/C136)</f>
        <v>0.41737283427938043</v>
      </c>
      <c r="E133" s="50"/>
      <c r="F133" s="229"/>
      <c r="G133" s="230"/>
      <c r="H133" s="231"/>
    </row>
    <row r="134" spans="2:8" ht="12" customHeight="1">
      <c r="B134" s="70" t="s">
        <v>52</v>
      </c>
      <c r="C134" s="52">
        <f>G111</f>
        <v>1000000</v>
      </c>
      <c r="D134" s="71">
        <f>(C134/C136)</f>
        <v>1.5197501117115051E-2</v>
      </c>
      <c r="E134" s="53"/>
      <c r="F134" s="229"/>
      <c r="G134" s="230"/>
      <c r="H134" s="231"/>
    </row>
    <row r="135" spans="2:8" ht="12" customHeight="1">
      <c r="B135" s="70" t="s">
        <v>53</v>
      </c>
      <c r="C135" s="52">
        <f>G114</f>
        <v>3133347.203075394</v>
      </c>
      <c r="D135" s="71">
        <f>(C135/C136)</f>
        <v>4.7619047619047616E-2</v>
      </c>
      <c r="E135" s="53"/>
      <c r="F135" s="232"/>
      <c r="G135" s="230"/>
      <c r="H135" s="231"/>
    </row>
    <row r="136" spans="2:8" ht="12.75" customHeight="1" thickBot="1">
      <c r="B136" s="72" t="s">
        <v>54</v>
      </c>
      <c r="C136" s="73">
        <f>SUM(C130:C135)</f>
        <v>65800291.264583275</v>
      </c>
      <c r="D136" s="74">
        <f>SUM(D130:D135)</f>
        <v>1</v>
      </c>
      <c r="E136" s="53"/>
      <c r="F136" s="228"/>
      <c r="G136" s="233"/>
      <c r="H136" s="234"/>
    </row>
    <row r="137" spans="2:8" ht="12" customHeight="1">
      <c r="B137" s="68"/>
      <c r="C137" s="56"/>
      <c r="D137" s="56"/>
      <c r="E137" s="56"/>
      <c r="F137" s="223"/>
      <c r="G137" s="221"/>
      <c r="H137" s="222"/>
    </row>
    <row r="138" spans="2:8" ht="12.75" customHeight="1" thickBot="1">
      <c r="B138" s="69"/>
      <c r="C138" s="56"/>
      <c r="D138" s="56"/>
      <c r="E138" s="56"/>
      <c r="F138" s="56"/>
      <c r="G138" s="105"/>
    </row>
    <row r="139" spans="2:8" ht="12" customHeight="1" thickBot="1">
      <c r="B139" s="243" t="s">
        <v>63</v>
      </c>
      <c r="C139" s="244"/>
      <c r="D139" s="244"/>
      <c r="E139" s="245"/>
      <c r="F139" s="53"/>
      <c r="G139" s="105"/>
    </row>
    <row r="140" spans="2:8" ht="12" customHeight="1">
      <c r="B140" s="86" t="s">
        <v>61</v>
      </c>
      <c r="C140" s="120">
        <v>500000</v>
      </c>
      <c r="D140" s="120">
        <v>560000</v>
      </c>
      <c r="E140" s="120">
        <v>650000</v>
      </c>
      <c r="F140" s="85"/>
      <c r="G140" s="106"/>
    </row>
    <row r="141" spans="2:8" ht="12.75" customHeight="1" thickBot="1">
      <c r="B141" s="72" t="s">
        <v>62</v>
      </c>
      <c r="C141" s="219">
        <f>(G115/C140)</f>
        <v>131.60058252916656</v>
      </c>
      <c r="D141" s="219">
        <f>(G115/D140)</f>
        <v>117.50052011532728</v>
      </c>
      <c r="E141" s="220">
        <f>(G115/E140)</f>
        <v>101.23121733012812</v>
      </c>
      <c r="F141" s="85"/>
      <c r="G141" s="106"/>
    </row>
    <row r="142" spans="2:8" ht="15.6" customHeight="1">
      <c r="B142" s="76" t="s">
        <v>55</v>
      </c>
      <c r="C142" s="54"/>
      <c r="D142" s="54"/>
      <c r="E142" s="54"/>
      <c r="F142" s="54"/>
      <c r="G142" s="107"/>
    </row>
  </sheetData>
  <mergeCells count="10">
    <mergeCell ref="E9:F9"/>
    <mergeCell ref="E14:F14"/>
    <mergeCell ref="E15:F15"/>
    <mergeCell ref="B17:G17"/>
    <mergeCell ref="B139:E139"/>
    <mergeCell ref="B128:C128"/>
    <mergeCell ref="E13:F13"/>
    <mergeCell ref="E11:F11"/>
    <mergeCell ref="E10:F10"/>
    <mergeCell ref="F129:H129"/>
  </mergeCells>
  <phoneticPr fontId="32" type="noConversion"/>
  <pageMargins left="0.25" right="0.25" top="0.14000000000000001" bottom="1.43" header="0.3" footer="0.3"/>
  <pageSetup paperSize="5" scale="99" fitToHeight="0" orientation="portrait" r:id="rId1"/>
  <headerFooter>
    <oddFooter>&amp;C&amp;"Helvetica Neue,Regular"&amp;12&amp;K000000&amp;P</oddFooter>
  </headerFooter>
  <rowBreaks count="2" manualBreakCount="2">
    <brk id="56" min="1" max="6" man="1"/>
    <brk id="106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030f0af-99cb-42f1-88fc-acec73331192"/>
    <ds:schemaRef ds:uri="c5dbce2d-49dc-4afe-a5b0-d7fb7a901161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PIMIENTO INVERNADERO </vt:lpstr>
      <vt:lpstr>'PIMIENTO INVERNADERO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2022-06-15T17:23:21Z</cp:lastPrinted>
  <dcterms:created xsi:type="dcterms:W3CDTF">2020-11-27T12:49:26Z</dcterms:created>
  <dcterms:modified xsi:type="dcterms:W3CDTF">2022-06-24T14:25:56Z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