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Ligua/"/>
    </mc:Choice>
  </mc:AlternateContent>
  <xr:revisionPtr revIDLastSave="4" documentId="11_292C51A7C2A9D76DD9384C484101FA32C61F57FD" xr6:coauthVersionLast="47" xr6:coauthVersionMax="47" xr10:uidLastSave="{76A1D288-1CF1-4A00-85D4-0CAD20B026B3}"/>
  <bookViews>
    <workbookView xWindow="-120" yWindow="-120" windowWidth="20730" windowHeight="11040" activeTab="2" xr2:uid="{00000000-000D-0000-FFFF-FFFF00000000}"/>
  </bookViews>
  <sheets>
    <sheet name="Paltos" sheetId="1" r:id="rId1"/>
    <sheet name="Hoja2" sheetId="2" r:id="rId2"/>
    <sheet name="Al 22.06.22" sheetId="3" r:id="rId3"/>
  </sheets>
  <definedNames>
    <definedName name="_xlnm.Print_Area" localSheetId="0">Paltos!$A$7:$F$84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9" i="3" l="1"/>
  <c r="E42" i="3"/>
  <c r="E47" i="3"/>
  <c r="F47" i="3" s="1"/>
  <c r="E49" i="3"/>
  <c r="F49" i="3" s="1"/>
  <c r="E53" i="3"/>
  <c r="E57" i="3"/>
  <c r="F57" i="3" s="1"/>
  <c r="E60" i="3"/>
  <c r="F60" i="3" s="1"/>
  <c r="E41" i="3"/>
  <c r="F41" i="3" s="1"/>
  <c r="B89" i="3"/>
  <c r="F53" i="3"/>
  <c r="F36" i="3"/>
  <c r="F37" i="3" s="1"/>
  <c r="B90" i="3" s="1"/>
  <c r="F26" i="3"/>
  <c r="F25" i="3"/>
  <c r="F24" i="3"/>
  <c r="F23" i="3"/>
  <c r="F22" i="3"/>
  <c r="F21" i="3"/>
  <c r="F20" i="3"/>
  <c r="F19" i="3"/>
  <c r="F10" i="3"/>
  <c r="F74" i="3" s="1"/>
  <c r="F27" i="3" l="1"/>
  <c r="B88" i="3" s="1"/>
  <c r="B89" i="1"/>
  <c r="C98" i="1"/>
  <c r="F10" i="1" l="1"/>
  <c r="F74" i="1" s="1"/>
  <c r="E68" i="1" l="1"/>
  <c r="E68" i="3" s="1"/>
  <c r="F68" i="3" s="1"/>
  <c r="F69" i="3" s="1"/>
  <c r="E63" i="1"/>
  <c r="E63" i="3" s="1"/>
  <c r="F63" i="3" s="1"/>
  <c r="E62" i="1"/>
  <c r="E62" i="3" s="1"/>
  <c r="F62" i="3" s="1"/>
  <c r="E61" i="1"/>
  <c r="E61" i="3" s="1"/>
  <c r="F61" i="3" s="1"/>
  <c r="E59" i="1"/>
  <c r="E59" i="3" s="1"/>
  <c r="F59" i="3" s="1"/>
  <c r="E58" i="1"/>
  <c r="E58" i="3" s="1"/>
  <c r="F58" i="3" s="1"/>
  <c r="E56" i="1"/>
  <c r="E56" i="3" s="1"/>
  <c r="F56" i="3" s="1"/>
  <c r="E55" i="1"/>
  <c r="E55" i="3" s="1"/>
  <c r="F55" i="3" s="1"/>
  <c r="E54" i="1"/>
  <c r="E54" i="3" s="1"/>
  <c r="F54" i="3" s="1"/>
  <c r="E52" i="1"/>
  <c r="E52" i="3" s="1"/>
  <c r="F52" i="3" s="1"/>
  <c r="E51" i="1"/>
  <c r="E51" i="3" s="1"/>
  <c r="F51" i="3" s="1"/>
  <c r="E50" i="1"/>
  <c r="E50" i="3" s="1"/>
  <c r="F50" i="3" s="1"/>
  <c r="E48" i="1"/>
  <c r="E48" i="3" s="1"/>
  <c r="F48" i="3" s="1"/>
  <c r="E46" i="1"/>
  <c r="E46" i="3" s="1"/>
  <c r="F46" i="3" s="1"/>
  <c r="E45" i="1"/>
  <c r="E45" i="3" s="1"/>
  <c r="F45" i="3" s="1"/>
  <c r="E44" i="1"/>
  <c r="E44" i="3" s="1"/>
  <c r="F44" i="3" s="1"/>
  <c r="E43" i="1"/>
  <c r="E43" i="3" s="1"/>
  <c r="F43" i="3" s="1"/>
  <c r="F64" i="3" s="1"/>
  <c r="B91" i="3" s="1"/>
  <c r="F41" i="1"/>
  <c r="B92" i="3" l="1"/>
  <c r="F71" i="3"/>
  <c r="F72" i="3" s="1"/>
  <c r="F68" i="1"/>
  <c r="F69" i="1" s="1"/>
  <c r="B92" i="1" s="1"/>
  <c r="E20" i="1"/>
  <c r="E21" i="1"/>
  <c r="E22" i="1"/>
  <c r="E23" i="1"/>
  <c r="E24" i="1"/>
  <c r="E25" i="1"/>
  <c r="E26" i="1"/>
  <c r="E19" i="1"/>
  <c r="F73" i="3" l="1"/>
  <c r="B93" i="3"/>
  <c r="B94" i="3" s="1"/>
  <c r="C91" i="3" s="1"/>
  <c r="C88" i="3"/>
  <c r="C92" i="3"/>
  <c r="F20" i="1"/>
  <c r="F21" i="1"/>
  <c r="F22" i="1"/>
  <c r="F23" i="1"/>
  <c r="F24" i="1"/>
  <c r="F25" i="1"/>
  <c r="F26" i="1"/>
  <c r="F19" i="1"/>
  <c r="F43" i="1"/>
  <c r="F64" i="1" s="1"/>
  <c r="B91" i="1" s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N6" i="2"/>
  <c r="N8" i="2"/>
  <c r="N10" i="2"/>
  <c r="N12" i="2"/>
  <c r="N14" i="2"/>
  <c r="N16" i="2"/>
  <c r="N18" i="2"/>
  <c r="N20" i="2"/>
  <c r="N22" i="2"/>
  <c r="N24" i="2"/>
  <c r="M5" i="2"/>
  <c r="N5" i="2" s="1"/>
  <c r="M6" i="2"/>
  <c r="M7" i="2"/>
  <c r="N7" i="2" s="1"/>
  <c r="M8" i="2"/>
  <c r="M9" i="2"/>
  <c r="N9" i="2" s="1"/>
  <c r="M10" i="2"/>
  <c r="M11" i="2"/>
  <c r="N11" i="2" s="1"/>
  <c r="M12" i="2"/>
  <c r="M13" i="2"/>
  <c r="N13" i="2" s="1"/>
  <c r="M14" i="2"/>
  <c r="M15" i="2"/>
  <c r="N15" i="2" s="1"/>
  <c r="M16" i="2"/>
  <c r="M17" i="2"/>
  <c r="N17" i="2" s="1"/>
  <c r="M18" i="2"/>
  <c r="M19" i="2"/>
  <c r="N19" i="2" s="1"/>
  <c r="M20" i="2"/>
  <c r="M21" i="2"/>
  <c r="N21" i="2" s="1"/>
  <c r="M22" i="2"/>
  <c r="M23" i="2"/>
  <c r="N23" i="2" s="1"/>
  <c r="M24" i="2"/>
  <c r="M4" i="2"/>
  <c r="N4" i="2" s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4" i="2"/>
  <c r="F36" i="1"/>
  <c r="F37" i="1" s="1"/>
  <c r="F27" i="1" l="1"/>
  <c r="B88" i="1" s="1"/>
  <c r="C93" i="3"/>
  <c r="C90" i="3"/>
  <c r="D99" i="3"/>
  <c r="B99" i="3"/>
  <c r="F75" i="3"/>
  <c r="C94" i="3"/>
  <c r="F71" i="1"/>
  <c r="F72" i="1" s="1"/>
  <c r="B90" i="1"/>
  <c r="F73" i="1" l="1"/>
  <c r="B93" i="1"/>
  <c r="B94" i="1" l="1"/>
  <c r="B99" i="1"/>
  <c r="F75" i="1"/>
  <c r="C99" i="1"/>
  <c r="D99" i="1"/>
  <c r="C92" i="1" l="1"/>
  <c r="C88" i="1"/>
  <c r="C91" i="1"/>
  <c r="C90" i="1"/>
  <c r="C93" i="1"/>
  <c r="C94" i="1" l="1"/>
</calcChain>
</file>

<file path=xl/sharedStrings.xml><?xml version="1.0" encoding="utf-8"?>
<sst xmlns="http://schemas.openxmlformats.org/spreadsheetml/2006/main" count="389" uniqueCount="129">
  <si>
    <t>RUBRO O CULTIVO</t>
  </si>
  <si>
    <t>PALTO</t>
  </si>
  <si>
    <t>VARIEDAD</t>
  </si>
  <si>
    <t>HASS</t>
  </si>
  <si>
    <t>FECHA ESTIMADA  PRECIO VENTA</t>
  </si>
  <si>
    <t>Mayo-Febrero</t>
  </si>
  <si>
    <t>NIVEL TECNOLÓGICO</t>
  </si>
  <si>
    <t>PRECIO ESPERADO ($/kg)</t>
  </si>
  <si>
    <t>REGIÓN</t>
  </si>
  <si>
    <t>VALPARAISO</t>
  </si>
  <si>
    <t>INGRESO ESPERADO, CON IVA ($)</t>
  </si>
  <si>
    <t>ÁREA</t>
  </si>
  <si>
    <t>DESTINO PRODUCCIÓN</t>
  </si>
  <si>
    <t>MERCADO INTERNO REGIONAL</t>
  </si>
  <si>
    <t>COMUNA/LOCALIDAD</t>
  </si>
  <si>
    <t>FECHA DE COSECHA</t>
  </si>
  <si>
    <t xml:space="preserve"> Mayo-Febrero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</si>
  <si>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</si>
  <si>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</si>
  <si>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</si>
  <si>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</si>
  <si>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</si>
  <si>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</si>
  <si>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</si>
  <si>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</si>
  <si>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</si>
  <si>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</si>
  <si>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Podas</t>
  </si>
  <si>
    <t>JH</t>
  </si>
  <si>
    <t>Agosto-Diciembre-Febrero</t>
  </si>
  <si>
    <t>Colocación de puntales</t>
  </si>
  <si>
    <t>Abril-nov</t>
  </si>
  <si>
    <t>Mantención sistema riego</t>
  </si>
  <si>
    <t>May-Dic</t>
  </si>
  <si>
    <t>Riegos</t>
  </si>
  <si>
    <t>Agosto-Mayo</t>
  </si>
  <si>
    <t>Fertilización quimica</t>
  </si>
  <si>
    <t>Control de malezas</t>
  </si>
  <si>
    <t>Agosto-Dic -Abril</t>
  </si>
  <si>
    <t>Control de plagas</t>
  </si>
  <si>
    <t>Diciembre- Abril</t>
  </si>
  <si>
    <t>Cosecha</t>
  </si>
  <si>
    <t>Septiembre - Abril</t>
  </si>
  <si>
    <t>Subtotal Jornadas Hombre</t>
  </si>
  <si>
    <t>JORNADAS ANIMAL</t>
  </si>
  <si>
    <t>Subtotal Jornadas Animal</t>
  </si>
  <si>
    <t>MAQUINARIA</t>
  </si>
  <si>
    <t>JM</t>
  </si>
  <si>
    <t>Aplicación foliares - pesticidas</t>
  </si>
  <si>
    <t>Sept-Dic-Abril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</si>
  <si>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</si>
  <si>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</si>
  <si>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</si>
  <si>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</si>
  <si>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</si>
  <si>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</si>
  <si>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     Urea</t>
  </si>
  <si>
    <t>kg.</t>
  </si>
  <si>
    <t>Septiembre-Abril</t>
  </si>
  <si>
    <t xml:space="preserve">     Nitrato Potasio</t>
  </si>
  <si>
    <t xml:space="preserve">     Sulfato de Zinc</t>
  </si>
  <si>
    <t xml:space="preserve">     Acido Fosfórico</t>
  </si>
  <si>
    <t>Lt.</t>
  </si>
  <si>
    <t xml:space="preserve">     Acido Bórico</t>
  </si>
  <si>
    <t xml:space="preserve">     Fosfimax 40/20</t>
  </si>
  <si>
    <t>Dic-Mar</t>
  </si>
  <si>
    <t>FOLIARES</t>
  </si>
  <si>
    <t xml:space="preserve">     Solubor</t>
  </si>
  <si>
    <t>oct</t>
  </si>
  <si>
    <t>sept-ene</t>
  </si>
  <si>
    <t xml:space="preserve">     Frutaliv</t>
  </si>
  <si>
    <t>nov-dic</t>
  </si>
  <si>
    <t>HERBICIDAS</t>
  </si>
  <si>
    <t xml:space="preserve">     Glifosato</t>
  </si>
  <si>
    <t>Ago-Dic -Abr</t>
  </si>
  <si>
    <t xml:space="preserve">     MCPA</t>
  </si>
  <si>
    <t xml:space="preserve">     Gramoxone</t>
  </si>
  <si>
    <t>INSECTICIDAS</t>
  </si>
  <si>
    <t xml:space="preserve">     Aceite </t>
  </si>
  <si>
    <t>ene-abr</t>
  </si>
  <si>
    <t xml:space="preserve">     Vertimec</t>
  </si>
  <si>
    <t>ADHERENTES</t>
  </si>
  <si>
    <t xml:space="preserve">     Breax</t>
  </si>
  <si>
    <t xml:space="preserve">     Li-700</t>
  </si>
  <si>
    <t>COMPOST</t>
  </si>
  <si>
    <t>m3</t>
  </si>
  <si>
    <t>Mayo</t>
  </si>
  <si>
    <t>Subtotal Insumos</t>
  </si>
  <si>
    <t>OTROS</t>
  </si>
  <si>
    <t>Item</t>
  </si>
  <si>
    <t>Energía  palto</t>
  </si>
  <si>
    <t>Kw/hr.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</si>
  <si>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</si>
  <si>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</si>
  <si>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</si>
  <si>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</si>
  <si>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</si>
  <si>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</si>
  <si>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</si>
  <si>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Fuente: INDAP</t>
  </si>
  <si>
    <t>Notas:</t>
  </si>
  <si>
    <t>1. Precios de insumos y productos se expresan con IVA.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</si>
  <si>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</si>
  <si>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</si>
  <si>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</si>
  <si>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</si>
  <si>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</si>
  <si>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La Ligua</t>
  </si>
  <si>
    <t>La Ligua, El Carmen- La Higuera, Pullancon, Santa Marta y La Canela</t>
  </si>
  <si>
    <t>BAJO</t>
  </si>
  <si>
    <t>Grave Sequía</t>
  </si>
  <si>
    <t>Compra de agua</t>
  </si>
  <si>
    <t>m³</t>
  </si>
  <si>
    <t>Diciembre-Mayo</t>
  </si>
  <si>
    <t>RENDIMIENTO (Unidades/ha)</t>
  </si>
  <si>
    <t xml:space="preserve"> 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</si>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</sst>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.##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9"/>
      <color indexed="8"/>
      <name val="Calibri"/>
      <family val="2"/>
    </font>
    <font>
      <sz val="7"/>
      <color indexed="8"/>
      <name val="Calibri"/>
      <family val="2"/>
    </font>
    <font>
      <b/>
      <sz val="9"/>
      <color rgb="FFFFFFFF"/>
      <name val="Calibri"/>
      <family val="2"/>
    </font>
    <font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9"/>
      <color rgb="FF000000"/>
      <name val="Calibri"/>
      <family val="2"/>
    </font>
    <font>
      <sz val="8"/>
      <color rgb="FFFFFFFF"/>
      <name val="Arial Narrow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7" fontId="1" fillId="0" borderId="0" xfId="0" applyNumberFormat="1" applyFont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17" fontId="1" fillId="2" borderId="8" xfId="0" applyNumberFormat="1" applyFont="1" applyFill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17" fontId="1" fillId="0" borderId="8" xfId="0" applyNumberFormat="1" applyFont="1" applyBorder="1" applyAlignment="1">
      <alignment horizontal="center" vertical="center"/>
    </xf>
    <xf numFmtId="9" fontId="0" fillId="0" borderId="0" xfId="0" applyNumberFormat="1"/>
    <xf numFmtId="3" fontId="0" fillId="0" borderId="0" xfId="0" applyNumberFormat="1"/>
    <xf numFmtId="3" fontId="4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vertical="center"/>
    </xf>
    <xf numFmtId="1" fontId="6" fillId="0" borderId="8" xfId="0" applyNumberFormat="1" applyFont="1" applyBorder="1" applyAlignment="1">
      <alignment horizontal="center" vertical="center"/>
    </xf>
    <xf numFmtId="49" fontId="7" fillId="3" borderId="15" xfId="0" applyNumberFormat="1" applyFont="1" applyFill="1" applyBorder="1" applyAlignment="1">
      <alignment vertical="center" wrapText="1"/>
    </xf>
    <xf numFmtId="49" fontId="7" fillId="5" borderId="17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0" fontId="10" fillId="6" borderId="19" xfId="0" applyFont="1" applyFill="1" applyBorder="1" applyAlignment="1">
      <alignment horizontal="right" vertical="center"/>
    </xf>
    <xf numFmtId="49" fontId="7" fillId="3" borderId="16" xfId="0" applyNumberFormat="1" applyFont="1" applyFill="1" applyBorder="1" applyAlignment="1">
      <alignment horizontal="center" vertical="center" wrapText="1"/>
    </xf>
    <xf numFmtId="49" fontId="11" fillId="3" borderId="16" xfId="0" applyNumberFormat="1" applyFont="1" applyFill="1" applyBorder="1" applyAlignment="1">
      <alignment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vertical="center"/>
    </xf>
    <xf numFmtId="0" fontId="10" fillId="6" borderId="21" xfId="0" applyFont="1" applyFill="1" applyBorder="1" applyAlignment="1">
      <alignment horizontal="right" vertical="center"/>
    </xf>
    <xf numFmtId="49" fontId="7" fillId="3" borderId="14" xfId="0" applyNumberFormat="1" applyFont="1" applyFill="1" applyBorder="1" applyAlignment="1">
      <alignment horizontal="center" vertical="center"/>
    </xf>
    <xf numFmtId="49" fontId="7" fillId="3" borderId="14" xfId="0" applyNumberFormat="1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/>
    </xf>
    <xf numFmtId="3" fontId="10" fillId="6" borderId="14" xfId="0" applyNumberFormat="1" applyFont="1" applyFill="1" applyBorder="1" applyAlignment="1">
      <alignment vertical="center"/>
    </xf>
    <xf numFmtId="3" fontId="10" fillId="6" borderId="14" xfId="0" applyNumberFormat="1" applyFont="1" applyFill="1" applyBorder="1" applyAlignment="1">
      <alignment horizontal="center" vertical="center"/>
    </xf>
    <xf numFmtId="49" fontId="8" fillId="3" borderId="14" xfId="0" applyNumberFormat="1" applyFont="1" applyFill="1" applyBorder="1" applyAlignment="1">
      <alignment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/>
    </xf>
    <xf numFmtId="3" fontId="8" fillId="3" borderId="14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/>
    </xf>
    <xf numFmtId="49" fontId="7" fillId="3" borderId="17" xfId="0" applyNumberFormat="1" applyFont="1" applyFill="1" applyBorder="1" applyAlignment="1">
      <alignment horizontal="center" vertical="center" wrapText="1"/>
    </xf>
    <xf numFmtId="49" fontId="11" fillId="3" borderId="14" xfId="0" applyNumberFormat="1" applyFont="1" applyFill="1" applyBorder="1" applyAlignment="1">
      <alignment vertical="center"/>
    </xf>
    <xf numFmtId="49" fontId="7" fillId="3" borderId="22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right" vertical="center" wrapText="1"/>
    </xf>
    <xf numFmtId="49" fontId="12" fillId="3" borderId="8" xfId="0" applyNumberFormat="1" applyFont="1" applyFill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3" fontId="12" fillId="3" borderId="8" xfId="0" applyNumberFormat="1" applyFont="1" applyFill="1" applyBorder="1" applyAlignment="1">
      <alignment horizontal="center" vertical="center"/>
    </xf>
    <xf numFmtId="49" fontId="7" fillId="3" borderId="22" xfId="0" applyNumberFormat="1" applyFont="1" applyFill="1" applyBorder="1" applyAlignment="1">
      <alignment horizontal="center" vertical="center"/>
    </xf>
    <xf numFmtId="49" fontId="12" fillId="3" borderId="23" xfId="0" applyNumberFormat="1" applyFont="1" applyFill="1" applyBorder="1" applyAlignment="1">
      <alignment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right" vertical="center"/>
    </xf>
    <xf numFmtId="0" fontId="12" fillId="3" borderId="23" xfId="0" applyFont="1" applyFill="1" applyBorder="1" applyAlignment="1">
      <alignment vertical="center"/>
    </xf>
    <xf numFmtId="3" fontId="12" fillId="3" borderId="23" xfId="0" applyNumberFormat="1" applyFont="1" applyFill="1" applyBorder="1" applyAlignment="1">
      <alignment horizontal="center" vertical="center"/>
    </xf>
    <xf numFmtId="3" fontId="12" fillId="3" borderId="16" xfId="0" applyNumberFormat="1" applyFont="1" applyFill="1" applyBorder="1" applyAlignment="1">
      <alignment horizontal="center" vertical="center"/>
    </xf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6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4" xfId="0" applyFont="1" applyFill="1" applyBorder="1" applyAlignment="1">
      <alignment vertical="center"/>
    </xf>
    <xf numFmtId="166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4" xfId="0" applyFont="1" applyFill="1" applyBorder="1" applyAlignment="1">
      <alignment vertical="center"/>
    </xf>
    <xf numFmtId="166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13" fillId="5" borderId="30" xfId="0" applyFont="1" applyFill="1" applyBorder="1" applyAlignment="1">
      <alignment vertical="center"/>
    </xf>
    <xf numFmtId="0" fontId="16" fillId="7" borderId="33" xfId="0" applyFont="1" applyFill="1" applyBorder="1" applyAlignment="1"/>
    <xf numFmtId="0" fontId="16" fillId="8" borderId="0" xfId="0" applyFont="1" applyFill="1" applyBorder="1" applyAlignment="1"/>
    <xf numFmtId="49" fontId="15" fillId="9" borderId="34" xfId="0" applyNumberFormat="1" applyFont="1" applyFill="1" applyBorder="1" applyAlignment="1">
      <alignment vertical="center"/>
    </xf>
    <xf numFmtId="49" fontId="15" fillId="9" borderId="35" xfId="0" applyNumberFormat="1" applyFont="1" applyFill="1" applyBorder="1" applyAlignment="1">
      <alignment horizontal="center" vertical="center"/>
    </xf>
    <xf numFmtId="49" fontId="16" fillId="9" borderId="36" xfId="0" applyNumberFormat="1" applyFont="1" applyFill="1" applyBorder="1" applyAlignment="1">
      <alignment horizontal="center"/>
    </xf>
    <xf numFmtId="49" fontId="15" fillId="6" borderId="37" xfId="0" applyNumberFormat="1" applyFont="1" applyFill="1" applyBorder="1" applyAlignment="1">
      <alignment vertical="center"/>
    </xf>
    <xf numFmtId="3" fontId="15" fillId="6" borderId="16" xfId="0" applyNumberFormat="1" applyFont="1" applyFill="1" applyBorder="1" applyAlignment="1">
      <alignment vertical="center"/>
    </xf>
    <xf numFmtId="9" fontId="16" fillId="6" borderId="38" xfId="0" applyNumberFormat="1" applyFont="1" applyFill="1" applyBorder="1" applyAlignment="1"/>
    <xf numFmtId="167" fontId="15" fillId="6" borderId="16" xfId="0" applyNumberFormat="1" applyFont="1" applyFill="1" applyBorder="1" applyAlignment="1">
      <alignment vertical="center"/>
    </xf>
    <xf numFmtId="0" fontId="13" fillId="8" borderId="0" xfId="0" applyFont="1" applyFill="1" applyBorder="1" applyAlignment="1">
      <alignment vertical="center"/>
    </xf>
    <xf numFmtId="49" fontId="15" fillId="9" borderId="39" xfId="0" applyNumberFormat="1" applyFont="1" applyFill="1" applyBorder="1" applyAlignment="1">
      <alignment vertical="center"/>
    </xf>
    <xf numFmtId="167" fontId="15" fillId="9" borderId="40" xfId="0" applyNumberFormat="1" applyFont="1" applyFill="1" applyBorder="1" applyAlignment="1">
      <alignment vertical="center"/>
    </xf>
    <xf numFmtId="9" fontId="15" fillId="9" borderId="41" xfId="0" applyNumberFormat="1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18" fillId="6" borderId="0" xfId="0" applyFont="1" applyFill="1" applyBorder="1" applyAlignment="1">
      <alignment vertical="center"/>
    </xf>
    <xf numFmtId="49" fontId="15" fillId="9" borderId="44" xfId="0" applyNumberFormat="1" applyFont="1" applyFill="1" applyBorder="1" applyAlignment="1">
      <alignment vertical="center"/>
    </xf>
    <xf numFmtId="3" fontId="15" fillId="9" borderId="45" xfId="0" applyNumberFormat="1" applyFont="1" applyFill="1" applyBorder="1" applyAlignment="1">
      <alignment vertical="center"/>
    </xf>
    <xf numFmtId="167" fontId="15" fillId="9" borderId="41" xfId="0" applyNumberFormat="1" applyFont="1" applyFill="1" applyBorder="1" applyAlignment="1">
      <alignment vertical="center"/>
    </xf>
    <xf numFmtId="49" fontId="16" fillId="6" borderId="0" xfId="0" applyNumberFormat="1" applyFont="1" applyFill="1" applyBorder="1" applyAlignment="1">
      <alignment vertical="center"/>
    </xf>
    <xf numFmtId="0" fontId="16" fillId="6" borderId="0" xfId="0" applyFont="1" applyFill="1" applyBorder="1" applyAlignment="1"/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49" fontId="8" fillId="3" borderId="16" xfId="0" applyNumberFormat="1" applyFont="1" applyFill="1" applyBorder="1" applyAlignment="1">
      <alignment wrapText="1"/>
    </xf>
    <xf numFmtId="0" fontId="8" fillId="4" borderId="16" xfId="0" applyFont="1" applyFill="1" applyBorder="1" applyAlignment="1">
      <alignment wrapText="1"/>
    </xf>
    <xf numFmtId="0" fontId="1" fillId="0" borderId="8" xfId="0" applyFont="1" applyBorder="1" applyAlignment="1">
      <alignment vertical="center" wrapText="1"/>
    </xf>
    <xf numFmtId="49" fontId="14" fillId="7" borderId="31" xfId="0" applyNumberFormat="1" applyFont="1" applyFill="1" applyBorder="1" applyAlignment="1">
      <alignment vertical="center"/>
    </xf>
    <xf numFmtId="0" fontId="15" fillId="7" borderId="32" xfId="0" applyFont="1" applyFill="1" applyBorder="1" applyAlignment="1">
      <alignment vertical="center"/>
    </xf>
    <xf numFmtId="49" fontId="14" fillId="7" borderId="42" xfId="0" applyNumberFormat="1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center" vertical="center"/>
    </xf>
    <xf numFmtId="49" fontId="14" fillId="7" borderId="43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49" fontId="9" fillId="3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2425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51370" cy="1052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2425</xdr:colOff>
      <xdr:row>5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49985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G100"/>
  <sheetViews>
    <sheetView topLeftCell="A4" zoomScale="110" zoomScaleNormal="110" workbookViewId="0">
      <selection activeCell="I72" sqref="I72"/>
    </sheetView>
  </sheetViews>
  <sheetFormatPr baseColWidth="10" defaultRowHeight="15" x14ac:dyDescent="0.25"/>
  <cols>
    <col min="1" max="1" width="23.28515625" customWidth="1"/>
    <col min="2" max="2" width="21.140625" customWidth="1"/>
    <col min="5" max="5" width="12.7109375" customWidth="1"/>
    <col min="6" max="6" width="24" customWidth="1"/>
  </cols>
  <sheetData>
    <row r="6" spans="1:6" x14ac:dyDescent="0.25">
      <c r="A6" s="1"/>
      <c r="B6" s="1"/>
      <c r="C6" s="1"/>
      <c r="D6" s="2"/>
      <c r="E6" s="1"/>
      <c r="F6" s="1"/>
    </row>
    <row r="7" spans="1:6" ht="15" customHeight="1" x14ac:dyDescent="0.25">
      <c r="A7" s="56" t="s">
        <v>0</v>
      </c>
      <c r="B7" s="37" t="s">
        <v>1</v>
      </c>
      <c r="C7" s="3"/>
      <c r="D7" s="130" t="s">
        <v>114</v>
      </c>
      <c r="E7" s="131"/>
      <c r="F7" s="45">
        <v>4500</v>
      </c>
    </row>
    <row r="8" spans="1:6" ht="20.25" customHeight="1" x14ac:dyDescent="0.25">
      <c r="A8" s="22" t="s">
        <v>2</v>
      </c>
      <c r="B8" s="39" t="s">
        <v>3</v>
      </c>
      <c r="C8" s="3"/>
      <c r="D8" s="132" t="s">
        <v>4</v>
      </c>
      <c r="E8" s="132"/>
      <c r="F8" s="24" t="s">
        <v>5</v>
      </c>
    </row>
    <row r="9" spans="1:6" ht="15" customHeight="1" x14ac:dyDescent="0.25">
      <c r="A9" s="22" t="s">
        <v>6</v>
      </c>
      <c r="B9" s="47" t="s">
        <v>109</v>
      </c>
      <c r="C9" s="3"/>
      <c r="D9" s="132" t="s">
        <v>7</v>
      </c>
      <c r="E9" s="132"/>
      <c r="F9" s="25">
        <v>2100</v>
      </c>
    </row>
    <row r="10" spans="1:6" ht="19.5" customHeight="1" x14ac:dyDescent="0.25">
      <c r="A10" s="22" t="s">
        <v>8</v>
      </c>
      <c r="B10" s="37" t="s">
        <v>9</v>
      </c>
      <c r="C10" s="3"/>
      <c r="D10" s="132" t="s">
        <v>10</v>
      </c>
      <c r="E10" s="132"/>
      <c r="F10" s="51">
        <f>(F7*F9)</f>
        <v>9450000</v>
      </c>
    </row>
    <row r="11" spans="1:6" x14ac:dyDescent="0.25">
      <c r="A11" s="22" t="s">
        <v>11</v>
      </c>
      <c r="B11" s="37" t="s">
        <v>107</v>
      </c>
      <c r="C11" s="3"/>
      <c r="D11" s="132" t="s">
        <v>12</v>
      </c>
      <c r="E11" s="132"/>
      <c r="F11" s="23" t="s">
        <v>13</v>
      </c>
    </row>
    <row r="12" spans="1:6" ht="27" x14ac:dyDescent="0.25">
      <c r="A12" s="22" t="s">
        <v>14</v>
      </c>
      <c r="B12" s="47" t="s">
        <v>108</v>
      </c>
      <c r="C12" s="3"/>
      <c r="D12" s="132" t="s">
        <v>15</v>
      </c>
      <c r="E12" s="132"/>
      <c r="F12" s="26" t="s">
        <v>16</v>
      </c>
    </row>
    <row r="13" spans="1:6" x14ac:dyDescent="0.25">
      <c r="A13" s="22" t="s">
        <v>17</v>
      </c>
      <c r="B13" s="48">
        <v>44602</v>
      </c>
      <c r="C13" s="3"/>
      <c r="D13" s="138" t="s">
        <v>18</v>
      </c>
      <c r="E13" s="138"/>
      <c r="F13" s="26" t="s">
        <v>110</v>
      </c>
    </row>
    <row r="14" spans="1:6" x14ac:dyDescent="0.25">
      <c r="A14" s="4"/>
      <c r="B14" s="5"/>
      <c r="C14" s="3"/>
      <c r="D14" s="3"/>
      <c r="E14" s="3"/>
      <c r="F14" s="6"/>
    </row>
    <row r="15" spans="1:6" x14ac:dyDescent="0.25">
      <c r="A15" s="139" t="s">
        <v>19</v>
      </c>
      <c r="B15" s="140"/>
      <c r="C15" s="140"/>
      <c r="D15" s="140"/>
      <c r="E15" s="140"/>
      <c r="F15" s="140"/>
    </row>
    <row r="16" spans="1:6" x14ac:dyDescent="0.25">
      <c r="A16" s="1"/>
      <c r="B16" s="7"/>
      <c r="C16" s="7"/>
      <c r="D16" s="8"/>
      <c r="E16" s="9"/>
      <c r="F16" s="10"/>
    </row>
    <row r="17" spans="1:6" x14ac:dyDescent="0.25">
      <c r="A17" s="57" t="s">
        <v>20</v>
      </c>
      <c r="B17" s="58"/>
      <c r="C17" s="59"/>
      <c r="D17" s="59"/>
      <c r="E17" s="59"/>
      <c r="F17" s="60"/>
    </row>
    <row r="18" spans="1:6" ht="19.899999999999999" customHeight="1" x14ac:dyDescent="0.25">
      <c r="A18" s="61" t="s">
        <v>21</v>
      </c>
      <c r="B18" s="61" t="s">
        <v>22</v>
      </c>
      <c r="C18" s="61" t="s">
        <v>23</v>
      </c>
      <c r="D18" s="61" t="s">
        <v>24</v>
      </c>
      <c r="E18" s="61" t="s">
        <v>25</v>
      </c>
      <c r="F18" s="61" t="s">
        <v>26</v>
      </c>
    </row>
    <row r="19" spans="1:6" ht="27" x14ac:dyDescent="0.25">
      <c r="A19" s="27" t="s">
        <v>27</v>
      </c>
      <c r="B19" s="11" t="s">
        <v>28</v>
      </c>
      <c r="C19" s="12">
        <v>8</v>
      </c>
      <c r="D19" s="13" t="s">
        <v>29</v>
      </c>
      <c r="E19" s="30">
        <f>(20000+(20000*0.06))*1.1</f>
        <v>23320.000000000004</v>
      </c>
      <c r="F19" s="30">
        <f>C19*E19</f>
        <v>186560.00000000003</v>
      </c>
    </row>
    <row r="20" spans="1:6" x14ac:dyDescent="0.25">
      <c r="A20" s="27" t="s">
        <v>30</v>
      </c>
      <c r="B20" s="11" t="s">
        <v>28</v>
      </c>
      <c r="C20" s="12">
        <v>8</v>
      </c>
      <c r="D20" s="13" t="s">
        <v>31</v>
      </c>
      <c r="E20" s="30">
        <f t="shared" ref="E20:E26" si="0">(20000+(20000*0.06))*1.1</f>
        <v>23320.000000000004</v>
      </c>
      <c r="F20" s="30">
        <f t="shared" ref="F20:F26" si="1">C20*E20</f>
        <v>186560.00000000003</v>
      </c>
    </row>
    <row r="21" spans="1:6" x14ac:dyDescent="0.25">
      <c r="A21" s="27" t="s">
        <v>32</v>
      </c>
      <c r="B21" s="11" t="s">
        <v>28</v>
      </c>
      <c r="C21" s="12">
        <v>4</v>
      </c>
      <c r="D21" s="13" t="s">
        <v>33</v>
      </c>
      <c r="E21" s="30">
        <f t="shared" si="0"/>
        <v>23320.000000000004</v>
      </c>
      <c r="F21" s="30">
        <f t="shared" si="1"/>
        <v>93280.000000000015</v>
      </c>
    </row>
    <row r="22" spans="1:6" x14ac:dyDescent="0.25">
      <c r="A22" s="28" t="s">
        <v>34</v>
      </c>
      <c r="B22" s="14" t="s">
        <v>28</v>
      </c>
      <c r="C22" s="15">
        <v>14</v>
      </c>
      <c r="D22" s="16" t="s">
        <v>35</v>
      </c>
      <c r="E22" s="30">
        <f t="shared" si="0"/>
        <v>23320.000000000004</v>
      </c>
      <c r="F22" s="30">
        <f t="shared" si="1"/>
        <v>326480.00000000006</v>
      </c>
    </row>
    <row r="23" spans="1:6" x14ac:dyDescent="0.25">
      <c r="A23" s="28" t="s">
        <v>36</v>
      </c>
      <c r="B23" s="14" t="s">
        <v>28</v>
      </c>
      <c r="C23" s="15">
        <v>9</v>
      </c>
      <c r="D23" s="16" t="s">
        <v>35</v>
      </c>
      <c r="E23" s="30">
        <f t="shared" si="0"/>
        <v>23320.000000000004</v>
      </c>
      <c r="F23" s="30">
        <f t="shared" si="1"/>
        <v>209880.00000000003</v>
      </c>
    </row>
    <row r="24" spans="1:6" x14ac:dyDescent="0.25">
      <c r="A24" s="28" t="s">
        <v>37</v>
      </c>
      <c r="B24" s="14" t="s">
        <v>28</v>
      </c>
      <c r="C24" s="17">
        <v>6</v>
      </c>
      <c r="D24" s="16" t="s">
        <v>38</v>
      </c>
      <c r="E24" s="30">
        <f t="shared" si="0"/>
        <v>23320.000000000004</v>
      </c>
      <c r="F24" s="30">
        <f t="shared" si="1"/>
        <v>139920.00000000003</v>
      </c>
    </row>
    <row r="25" spans="1:6" x14ac:dyDescent="0.25">
      <c r="A25" s="28" t="s">
        <v>39</v>
      </c>
      <c r="B25" s="14" t="s">
        <v>28</v>
      </c>
      <c r="C25" s="17">
        <v>2</v>
      </c>
      <c r="D25" s="16" t="s">
        <v>40</v>
      </c>
      <c r="E25" s="30">
        <f t="shared" si="0"/>
        <v>23320.000000000004</v>
      </c>
      <c r="F25" s="30">
        <f t="shared" si="1"/>
        <v>46640.000000000007</v>
      </c>
    </row>
    <row r="26" spans="1:6" x14ac:dyDescent="0.25">
      <c r="A26" s="29" t="s">
        <v>41</v>
      </c>
      <c r="B26" s="18" t="s">
        <v>28</v>
      </c>
      <c r="C26" s="19">
        <v>18.75</v>
      </c>
      <c r="D26" s="20" t="s">
        <v>42</v>
      </c>
      <c r="E26" s="30">
        <f t="shared" si="0"/>
        <v>23320.000000000004</v>
      </c>
      <c r="F26" s="30">
        <f t="shared" si="1"/>
        <v>437250.00000000006</v>
      </c>
    </row>
    <row r="27" spans="1:6" x14ac:dyDescent="0.25">
      <c r="A27" s="62" t="s">
        <v>43</v>
      </c>
      <c r="B27" s="63"/>
      <c r="C27" s="63"/>
      <c r="D27" s="63"/>
      <c r="E27" s="64"/>
      <c r="F27" s="95">
        <f>SUM(F19:F26)</f>
        <v>1626570.0000000002</v>
      </c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65" t="s">
        <v>44</v>
      </c>
      <c r="B29" s="66"/>
      <c r="C29" s="67"/>
      <c r="D29" s="67"/>
      <c r="E29" s="68"/>
      <c r="F29" s="69"/>
    </row>
    <row r="30" spans="1:6" ht="24" x14ac:dyDescent="0.25">
      <c r="A30" s="70" t="s">
        <v>21</v>
      </c>
      <c r="B30" s="71" t="s">
        <v>22</v>
      </c>
      <c r="C30" s="71" t="s">
        <v>23</v>
      </c>
      <c r="D30" s="70" t="s">
        <v>115</v>
      </c>
      <c r="E30" s="71" t="s">
        <v>25</v>
      </c>
      <c r="F30" s="70" t="s">
        <v>26</v>
      </c>
    </row>
    <row r="31" spans="1:6" x14ac:dyDescent="0.25">
      <c r="A31" s="72"/>
      <c r="B31" s="73" t="s">
        <v>115</v>
      </c>
      <c r="C31" s="73" t="s">
        <v>115</v>
      </c>
      <c r="D31" s="73" t="s">
        <v>115</v>
      </c>
      <c r="E31" s="74" t="s">
        <v>115</v>
      </c>
      <c r="F31" s="75"/>
    </row>
    <row r="32" spans="1:6" x14ac:dyDescent="0.25">
      <c r="A32" s="76" t="s">
        <v>45</v>
      </c>
      <c r="B32" s="77"/>
      <c r="C32" s="77"/>
      <c r="D32" s="77"/>
      <c r="E32" s="78"/>
      <c r="F32" s="79"/>
    </row>
    <row r="33" spans="1:7" x14ac:dyDescent="0.25">
      <c r="A33" s="3"/>
      <c r="B33" s="3"/>
      <c r="C33" s="3"/>
      <c r="D33" s="3"/>
      <c r="E33" s="3"/>
      <c r="F33" s="3"/>
    </row>
    <row r="34" spans="1:7" x14ac:dyDescent="0.25">
      <c r="A34" s="65" t="s">
        <v>46</v>
      </c>
      <c r="B34" s="66"/>
      <c r="C34" s="67"/>
      <c r="D34" s="67"/>
      <c r="E34" s="68"/>
      <c r="F34" s="69"/>
    </row>
    <row r="35" spans="1:7" ht="24" x14ac:dyDescent="0.25">
      <c r="A35" s="80" t="s">
        <v>21</v>
      </c>
      <c r="B35" s="80" t="s">
        <v>22</v>
      </c>
      <c r="C35" s="80" t="s">
        <v>23</v>
      </c>
      <c r="D35" s="80" t="s">
        <v>24</v>
      </c>
      <c r="E35" s="81" t="s">
        <v>25</v>
      </c>
      <c r="F35" s="80" t="s">
        <v>26</v>
      </c>
    </row>
    <row r="36" spans="1:7" x14ac:dyDescent="0.25">
      <c r="A36" s="32" t="s">
        <v>48</v>
      </c>
      <c r="B36" s="34" t="s">
        <v>47</v>
      </c>
      <c r="C36" s="33">
        <v>0.39</v>
      </c>
      <c r="D36" s="16" t="s">
        <v>49</v>
      </c>
      <c r="E36" s="31">
        <v>176000</v>
      </c>
      <c r="F36" s="31">
        <f>E36*C36</f>
        <v>68640</v>
      </c>
      <c r="G36" s="49"/>
    </row>
    <row r="37" spans="1:7" x14ac:dyDescent="0.25">
      <c r="A37" s="82" t="s">
        <v>50</v>
      </c>
      <c r="B37" s="63"/>
      <c r="C37" s="63"/>
      <c r="D37" s="63"/>
      <c r="E37" s="64"/>
      <c r="F37" s="95">
        <f>SUM(F29:F36)</f>
        <v>68640</v>
      </c>
    </row>
    <row r="38" spans="1:7" x14ac:dyDescent="0.25">
      <c r="A38" s="3"/>
      <c r="B38" s="3"/>
      <c r="C38" s="3"/>
      <c r="D38" s="3"/>
      <c r="E38" s="3"/>
      <c r="F38" s="3"/>
    </row>
    <row r="39" spans="1:7" x14ac:dyDescent="0.25">
      <c r="A39" s="65" t="s">
        <v>51</v>
      </c>
      <c r="B39" s="66"/>
      <c r="C39" s="67"/>
      <c r="D39" s="67"/>
      <c r="E39" s="68"/>
      <c r="F39" s="69"/>
    </row>
    <row r="40" spans="1:7" ht="24" x14ac:dyDescent="0.25">
      <c r="A40" s="83" t="s">
        <v>52</v>
      </c>
      <c r="B40" s="83" t="s">
        <v>53</v>
      </c>
      <c r="C40" s="83" t="s">
        <v>54</v>
      </c>
      <c r="D40" s="83" t="s">
        <v>24</v>
      </c>
      <c r="E40" s="83" t="s">
        <v>25</v>
      </c>
      <c r="F40" s="84" t="s">
        <v>26</v>
      </c>
    </row>
    <row r="41" spans="1:7" x14ac:dyDescent="0.25">
      <c r="A41" s="52" t="s">
        <v>111</v>
      </c>
      <c r="B41" s="53" t="s">
        <v>112</v>
      </c>
      <c r="C41" s="55">
        <v>750</v>
      </c>
      <c r="D41" s="53" t="s">
        <v>113</v>
      </c>
      <c r="E41" s="54">
        <v>2000</v>
      </c>
      <c r="F41" s="54">
        <f>(C41*E41)</f>
        <v>1500000</v>
      </c>
    </row>
    <row r="42" spans="1:7" x14ac:dyDescent="0.25">
      <c r="A42" s="36" t="s">
        <v>55</v>
      </c>
      <c r="B42" s="37"/>
      <c r="C42" s="38"/>
      <c r="D42" s="39"/>
      <c r="E42" s="40"/>
      <c r="F42" s="40"/>
    </row>
    <row r="43" spans="1:7" x14ac:dyDescent="0.25">
      <c r="A43" s="41" t="s">
        <v>56</v>
      </c>
      <c r="B43" s="37" t="s">
        <v>57</v>
      </c>
      <c r="C43" s="38">
        <v>272</v>
      </c>
      <c r="D43" s="39" t="s">
        <v>58</v>
      </c>
      <c r="E43" s="40">
        <f>(303.85*1.1)</f>
        <v>334.23500000000007</v>
      </c>
      <c r="F43" s="40">
        <f>C43*E43</f>
        <v>90911.920000000013</v>
      </c>
    </row>
    <row r="44" spans="1:7" x14ac:dyDescent="0.25">
      <c r="A44" s="41" t="s">
        <v>59</v>
      </c>
      <c r="B44" s="37" t="s">
        <v>57</v>
      </c>
      <c r="C44" s="38">
        <v>278</v>
      </c>
      <c r="D44" s="39" t="s">
        <v>58</v>
      </c>
      <c r="E44" s="40">
        <f>(604.61*1.1)</f>
        <v>665.07100000000003</v>
      </c>
      <c r="F44" s="40">
        <f t="shared" ref="F44:F63" si="2">C44*E44</f>
        <v>184889.73800000001</v>
      </c>
    </row>
    <row r="45" spans="1:7" x14ac:dyDescent="0.25">
      <c r="A45" s="41" t="s">
        <v>60</v>
      </c>
      <c r="B45" s="37" t="s">
        <v>57</v>
      </c>
      <c r="C45" s="38">
        <v>63</v>
      </c>
      <c r="D45" s="39" t="s">
        <v>58</v>
      </c>
      <c r="E45" s="40">
        <f>(697.31*1.1)</f>
        <v>767.04100000000005</v>
      </c>
      <c r="F45" s="40">
        <f t="shared" si="2"/>
        <v>48323.583000000006</v>
      </c>
    </row>
    <row r="46" spans="1:7" x14ac:dyDescent="0.25">
      <c r="A46" s="41" t="s">
        <v>61</v>
      </c>
      <c r="B46" s="37" t="s">
        <v>62</v>
      </c>
      <c r="C46" s="38">
        <v>39</v>
      </c>
      <c r="D46" s="39" t="s">
        <v>58</v>
      </c>
      <c r="E46" s="40">
        <f>(848.72*1.1)</f>
        <v>933.5920000000001</v>
      </c>
      <c r="F46" s="40">
        <f t="shared" si="2"/>
        <v>36410.088000000003</v>
      </c>
    </row>
    <row r="47" spans="1:7" x14ac:dyDescent="0.25">
      <c r="A47" s="41" t="s">
        <v>63</v>
      </c>
      <c r="B47" s="37" t="s">
        <v>57</v>
      </c>
      <c r="C47" s="38">
        <v>33</v>
      </c>
      <c r="D47" s="39" t="s">
        <v>58</v>
      </c>
      <c r="E47" s="40">
        <v>761.17</v>
      </c>
      <c r="F47" s="40">
        <f t="shared" si="2"/>
        <v>25118.609999999997</v>
      </c>
    </row>
    <row r="48" spans="1:7" x14ac:dyDescent="0.25">
      <c r="A48" s="41" t="s">
        <v>64</v>
      </c>
      <c r="B48" s="37" t="s">
        <v>62</v>
      </c>
      <c r="C48" s="38">
        <v>6</v>
      </c>
      <c r="D48" s="39" t="s">
        <v>65</v>
      </c>
      <c r="E48" s="40">
        <f>(9790.15*1.1)*1.1</f>
        <v>11846.081500000002</v>
      </c>
      <c r="F48" s="40">
        <f t="shared" si="2"/>
        <v>71076.489000000016</v>
      </c>
    </row>
    <row r="49" spans="1:6" x14ac:dyDescent="0.25">
      <c r="A49" s="42" t="s">
        <v>66</v>
      </c>
      <c r="B49" s="37"/>
      <c r="C49" s="38"/>
      <c r="D49" s="39"/>
      <c r="E49" s="40">
        <v>0</v>
      </c>
      <c r="F49" s="40">
        <f t="shared" si="2"/>
        <v>0</v>
      </c>
    </row>
    <row r="50" spans="1:6" x14ac:dyDescent="0.25">
      <c r="A50" s="35" t="s">
        <v>67</v>
      </c>
      <c r="B50" s="37" t="s">
        <v>57</v>
      </c>
      <c r="C50" s="38">
        <v>4</v>
      </c>
      <c r="D50" s="39" t="s">
        <v>68</v>
      </c>
      <c r="E50" s="40">
        <f>(2610.8028*1.1)</f>
        <v>2871.8830800000001</v>
      </c>
      <c r="F50" s="40">
        <f t="shared" si="2"/>
        <v>11487.53232</v>
      </c>
    </row>
    <row r="51" spans="1:6" x14ac:dyDescent="0.25">
      <c r="A51" s="35" t="s">
        <v>64</v>
      </c>
      <c r="B51" s="37" t="s">
        <v>62</v>
      </c>
      <c r="C51" s="38">
        <v>2.5</v>
      </c>
      <c r="D51" s="39" t="s">
        <v>69</v>
      </c>
      <c r="E51" s="40">
        <f>(9790.15*1.1)</f>
        <v>10769.165000000001</v>
      </c>
      <c r="F51" s="40">
        <f t="shared" si="2"/>
        <v>26922.912500000002</v>
      </c>
    </row>
    <row r="52" spans="1:6" x14ac:dyDescent="0.25">
      <c r="A52" s="35" t="s">
        <v>70</v>
      </c>
      <c r="B52" s="37" t="s">
        <v>62</v>
      </c>
      <c r="C52" s="43">
        <v>2.5</v>
      </c>
      <c r="D52" s="39" t="s">
        <v>71</v>
      </c>
      <c r="E52" s="40">
        <f>(11546.3*1.1)</f>
        <v>12700.93</v>
      </c>
      <c r="F52" s="40">
        <f t="shared" si="2"/>
        <v>31752.325000000001</v>
      </c>
    </row>
    <row r="53" spans="1:6" x14ac:dyDescent="0.25">
      <c r="A53" s="36" t="s">
        <v>72</v>
      </c>
      <c r="B53" s="35"/>
      <c r="C53" s="35"/>
      <c r="D53" s="35"/>
      <c r="E53" s="35">
        <v>0</v>
      </c>
      <c r="F53" s="40">
        <f t="shared" si="2"/>
        <v>0</v>
      </c>
    </row>
    <row r="54" spans="1:6" x14ac:dyDescent="0.25">
      <c r="A54" s="41" t="s">
        <v>73</v>
      </c>
      <c r="B54" s="37" t="s">
        <v>62</v>
      </c>
      <c r="C54" s="37">
        <v>6</v>
      </c>
      <c r="D54" s="35" t="s">
        <v>74</v>
      </c>
      <c r="E54" s="35">
        <f>(8767.36*1.1)</f>
        <v>9644.0960000000014</v>
      </c>
      <c r="F54" s="40">
        <f t="shared" si="2"/>
        <v>57864.576000000008</v>
      </c>
    </row>
    <row r="55" spans="1:6" x14ac:dyDescent="0.25">
      <c r="A55" s="41" t="s">
        <v>75</v>
      </c>
      <c r="B55" s="37" t="s">
        <v>62</v>
      </c>
      <c r="C55" s="37">
        <v>6</v>
      </c>
      <c r="D55" s="35" t="s">
        <v>74</v>
      </c>
      <c r="E55" s="35">
        <f>(11856.33*1.1)</f>
        <v>13041.963000000002</v>
      </c>
      <c r="F55" s="40">
        <f t="shared" si="2"/>
        <v>78251.778000000006</v>
      </c>
    </row>
    <row r="56" spans="1:6" x14ac:dyDescent="0.25">
      <c r="A56" s="41" t="s">
        <v>76</v>
      </c>
      <c r="B56" s="37" t="s">
        <v>62</v>
      </c>
      <c r="C56" s="37">
        <v>5</v>
      </c>
      <c r="D56" s="35" t="s">
        <v>74</v>
      </c>
      <c r="E56" s="35">
        <f>(4745.21*1.1)</f>
        <v>5219.7310000000007</v>
      </c>
      <c r="F56" s="40">
        <f t="shared" si="2"/>
        <v>26098.655000000002</v>
      </c>
    </row>
    <row r="57" spans="1:6" x14ac:dyDescent="0.25">
      <c r="A57" s="36" t="s">
        <v>77</v>
      </c>
      <c r="B57" s="37"/>
      <c r="C57" s="38"/>
      <c r="D57" s="39"/>
      <c r="E57" s="40">
        <v>0</v>
      </c>
      <c r="F57" s="40">
        <f t="shared" si="2"/>
        <v>0</v>
      </c>
    </row>
    <row r="58" spans="1:6" x14ac:dyDescent="0.25">
      <c r="A58" s="41" t="s">
        <v>78</v>
      </c>
      <c r="B58" s="37" t="s">
        <v>62</v>
      </c>
      <c r="C58" s="38">
        <v>10</v>
      </c>
      <c r="D58" s="39" t="s">
        <v>79</v>
      </c>
      <c r="E58" s="40">
        <f>(7307.85*1.1)</f>
        <v>8038.6350000000011</v>
      </c>
      <c r="F58" s="40">
        <f t="shared" si="2"/>
        <v>80386.350000000006</v>
      </c>
    </row>
    <row r="59" spans="1:6" x14ac:dyDescent="0.25">
      <c r="A59" s="41" t="s">
        <v>80</v>
      </c>
      <c r="B59" s="37" t="s">
        <v>62</v>
      </c>
      <c r="C59" s="38">
        <v>2</v>
      </c>
      <c r="D59" s="39" t="s">
        <v>79</v>
      </c>
      <c r="E59" s="40">
        <f>(18027.06*1.1)</f>
        <v>19829.766000000003</v>
      </c>
      <c r="F59" s="40">
        <f t="shared" si="2"/>
        <v>39659.532000000007</v>
      </c>
    </row>
    <row r="60" spans="1:6" x14ac:dyDescent="0.25">
      <c r="A60" s="36" t="s">
        <v>81</v>
      </c>
      <c r="B60" s="37"/>
      <c r="C60" s="38"/>
      <c r="D60" s="37"/>
      <c r="E60" s="40">
        <v>0</v>
      </c>
      <c r="F60" s="40">
        <f t="shared" si="2"/>
        <v>0</v>
      </c>
    </row>
    <row r="61" spans="1:6" x14ac:dyDescent="0.25">
      <c r="A61" s="41" t="s">
        <v>82</v>
      </c>
      <c r="B61" s="37" t="s">
        <v>62</v>
      </c>
      <c r="C61" s="38">
        <v>1</v>
      </c>
      <c r="D61" s="37" t="s">
        <v>74</v>
      </c>
      <c r="E61" s="40">
        <f>(9969.37*1.1)</f>
        <v>10966.307000000003</v>
      </c>
      <c r="F61" s="40">
        <f t="shared" si="2"/>
        <v>10966.307000000003</v>
      </c>
    </row>
    <row r="62" spans="1:6" x14ac:dyDescent="0.25">
      <c r="A62" s="41" t="s">
        <v>83</v>
      </c>
      <c r="B62" s="37" t="s">
        <v>62</v>
      </c>
      <c r="C62" s="38">
        <v>1</v>
      </c>
      <c r="D62" s="39" t="s">
        <v>74</v>
      </c>
      <c r="E62" s="40">
        <f>(8014.43*1.1)</f>
        <v>8815.8730000000014</v>
      </c>
      <c r="F62" s="40">
        <f t="shared" si="2"/>
        <v>8815.8730000000014</v>
      </c>
    </row>
    <row r="63" spans="1:6" x14ac:dyDescent="0.25">
      <c r="A63" s="42" t="s">
        <v>84</v>
      </c>
      <c r="B63" s="37" t="s">
        <v>85</v>
      </c>
      <c r="C63" s="43">
        <v>40</v>
      </c>
      <c r="D63" s="37" t="s">
        <v>86</v>
      </c>
      <c r="E63" s="40">
        <f>(18385.5*1.1)</f>
        <v>20224.050000000003</v>
      </c>
      <c r="F63" s="40">
        <f t="shared" si="2"/>
        <v>808962.00000000012</v>
      </c>
    </row>
    <row r="64" spans="1:6" x14ac:dyDescent="0.25">
      <c r="A64" s="85" t="s">
        <v>87</v>
      </c>
      <c r="B64" s="86"/>
      <c r="C64" s="86"/>
      <c r="D64" s="86"/>
      <c r="E64" s="87"/>
      <c r="F64" s="88">
        <f>SUM(F41:F63)</f>
        <v>3137898.2688200003</v>
      </c>
    </row>
    <row r="65" spans="1:6" x14ac:dyDescent="0.25">
      <c r="A65" s="9"/>
      <c r="B65" s="3"/>
      <c r="C65" s="3"/>
      <c r="D65" s="3"/>
      <c r="E65" s="3"/>
      <c r="F65" s="9"/>
    </row>
    <row r="66" spans="1:6" x14ac:dyDescent="0.25">
      <c r="A66" s="65" t="s">
        <v>88</v>
      </c>
      <c r="B66" s="66"/>
      <c r="C66" s="67"/>
      <c r="D66" s="67"/>
      <c r="E66" s="68"/>
      <c r="F66" s="69"/>
    </row>
    <row r="67" spans="1:6" ht="24" x14ac:dyDescent="0.25">
      <c r="A67" s="89" t="s">
        <v>89</v>
      </c>
      <c r="B67" s="83" t="s">
        <v>53</v>
      </c>
      <c r="C67" s="83" t="s">
        <v>54</v>
      </c>
      <c r="D67" s="89" t="s">
        <v>24</v>
      </c>
      <c r="E67" s="83" t="s">
        <v>25</v>
      </c>
      <c r="F67" s="89" t="s">
        <v>26</v>
      </c>
    </row>
    <row r="68" spans="1:6" x14ac:dyDescent="0.25">
      <c r="A68" s="35" t="s">
        <v>90</v>
      </c>
      <c r="B68" s="37" t="s">
        <v>91</v>
      </c>
      <c r="C68" s="44">
        <v>686</v>
      </c>
      <c r="D68" s="37" t="s">
        <v>92</v>
      </c>
      <c r="E68" s="40">
        <f>(150+(150*0.06))*1.3</f>
        <v>206.70000000000002</v>
      </c>
      <c r="F68" s="40">
        <f>(C68*E68)</f>
        <v>141796.20000000001</v>
      </c>
    </row>
    <row r="69" spans="1:6" x14ac:dyDescent="0.25">
      <c r="A69" s="90" t="s">
        <v>93</v>
      </c>
      <c r="B69" s="91"/>
      <c r="C69" s="91"/>
      <c r="D69" s="92"/>
      <c r="E69" s="93"/>
      <c r="F69" s="94">
        <f>SUM(F68)</f>
        <v>141796.20000000001</v>
      </c>
    </row>
    <row r="70" spans="1:6" x14ac:dyDescent="0.25">
      <c r="A70" s="9"/>
      <c r="B70" s="3"/>
      <c r="C70" s="3"/>
      <c r="D70" s="3"/>
      <c r="E70" s="3"/>
      <c r="F70" s="9"/>
    </row>
    <row r="71" spans="1:6" x14ac:dyDescent="0.25">
      <c r="A71" s="96" t="s">
        <v>94</v>
      </c>
      <c r="B71" s="97"/>
      <c r="C71" s="97"/>
      <c r="D71" s="97"/>
      <c r="E71" s="97"/>
      <c r="F71" s="98">
        <f>F69+F64+F37+F27</f>
        <v>4974904.468820001</v>
      </c>
    </row>
    <row r="72" spans="1:6" x14ac:dyDescent="0.25">
      <c r="A72" s="99" t="s">
        <v>95</v>
      </c>
      <c r="B72" s="100"/>
      <c r="C72" s="100"/>
      <c r="D72" s="100"/>
      <c r="E72" s="100"/>
      <c r="F72" s="101">
        <f>F71*0.05</f>
        <v>248745.22344100007</v>
      </c>
    </row>
    <row r="73" spans="1:6" x14ac:dyDescent="0.25">
      <c r="A73" s="102" t="s">
        <v>96</v>
      </c>
      <c r="B73" s="103"/>
      <c r="C73" s="103"/>
      <c r="D73" s="103"/>
      <c r="E73" s="103"/>
      <c r="F73" s="104">
        <f>F72+F71</f>
        <v>5223649.6922610011</v>
      </c>
    </row>
    <row r="74" spans="1:6" x14ac:dyDescent="0.25">
      <c r="A74" s="99" t="s">
        <v>97</v>
      </c>
      <c r="B74" s="100"/>
      <c r="C74" s="100"/>
      <c r="D74" s="100"/>
      <c r="E74" s="100"/>
      <c r="F74" s="101">
        <f>F10</f>
        <v>9450000</v>
      </c>
    </row>
    <row r="75" spans="1:6" x14ac:dyDescent="0.25">
      <c r="A75" s="105" t="s">
        <v>98</v>
      </c>
      <c r="B75" s="106"/>
      <c r="C75" s="106"/>
      <c r="D75" s="106"/>
      <c r="E75" s="106"/>
      <c r="F75" s="98">
        <f>F74-F73</f>
        <v>4226350.3077389989</v>
      </c>
    </row>
    <row r="76" spans="1:6" x14ac:dyDescent="0.25">
      <c r="A76" s="21" t="s">
        <v>99</v>
      </c>
      <c r="B76" s="21"/>
      <c r="C76" s="1"/>
      <c r="D76" s="1"/>
      <c r="E76" s="1"/>
      <c r="F76" s="1"/>
    </row>
    <row r="77" spans="1:6" x14ac:dyDescent="0.25">
      <c r="A77" s="21"/>
      <c r="B77" s="21"/>
      <c r="C77" s="1"/>
      <c r="D77" s="1"/>
      <c r="E77" s="1"/>
      <c r="F77" s="1"/>
    </row>
    <row r="78" spans="1:6" x14ac:dyDescent="0.25">
      <c r="A78" s="21" t="s">
        <v>100</v>
      </c>
      <c r="B78" s="21"/>
      <c r="C78" s="1"/>
      <c r="D78" s="1"/>
      <c r="E78" s="1"/>
      <c r="F78" s="1"/>
    </row>
    <row r="79" spans="1:6" x14ac:dyDescent="0.25">
      <c r="A79" s="21" t="s">
        <v>101</v>
      </c>
      <c r="B79" s="21"/>
      <c r="C79" s="1"/>
      <c r="D79" s="1"/>
      <c r="E79" s="1"/>
      <c r="F79" s="1"/>
    </row>
    <row r="80" spans="1:6" x14ac:dyDescent="0.25">
      <c r="A80" s="21" t="s">
        <v>102</v>
      </c>
      <c r="B80" s="21"/>
      <c r="C80" s="1"/>
      <c r="D80" s="1"/>
      <c r="E80" s="1"/>
      <c r="F80" s="1"/>
    </row>
    <row r="81" spans="1:6" x14ac:dyDescent="0.25">
      <c r="A81" s="21" t="s">
        <v>103</v>
      </c>
      <c r="B81" s="21"/>
      <c r="C81" s="1"/>
      <c r="D81" s="1"/>
      <c r="E81" s="1"/>
      <c r="F81" s="1"/>
    </row>
    <row r="82" spans="1:6" x14ac:dyDescent="0.25">
      <c r="A82" s="21" t="s">
        <v>104</v>
      </c>
      <c r="B82" s="21"/>
      <c r="C82" s="1"/>
      <c r="D82" s="1"/>
      <c r="E82" s="1"/>
      <c r="F82" s="1"/>
    </row>
    <row r="83" spans="1:6" x14ac:dyDescent="0.25">
      <c r="A83" s="21" t="s">
        <v>105</v>
      </c>
      <c r="B83" s="21"/>
      <c r="C83" s="1"/>
      <c r="D83" s="1"/>
      <c r="E83" s="1"/>
      <c r="F83" s="1"/>
    </row>
    <row r="84" spans="1:6" x14ac:dyDescent="0.25">
      <c r="A84" s="21" t="s">
        <v>106</v>
      </c>
      <c r="B84" s="2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ht="15.75" thickBot="1" x14ac:dyDescent="0.3">
      <c r="A86" s="133" t="s">
        <v>116</v>
      </c>
      <c r="B86" s="134"/>
      <c r="C86" s="107"/>
      <c r="D86" s="108"/>
    </row>
    <row r="87" spans="1:6" x14ac:dyDescent="0.25">
      <c r="A87" s="109" t="s">
        <v>89</v>
      </c>
      <c r="B87" s="110" t="s">
        <v>117</v>
      </c>
      <c r="C87" s="111" t="s">
        <v>118</v>
      </c>
      <c r="D87" s="108"/>
    </row>
    <row r="88" spans="1:6" x14ac:dyDescent="0.25">
      <c r="A88" s="112" t="s">
        <v>119</v>
      </c>
      <c r="B88" s="113">
        <f>F27</f>
        <v>1626570.0000000002</v>
      </c>
      <c r="C88" s="114">
        <f>(B88/B94)</f>
        <v>0.31138573522834312</v>
      </c>
      <c r="D88" s="108"/>
    </row>
    <row r="89" spans="1:6" x14ac:dyDescent="0.25">
      <c r="A89" s="112" t="s">
        <v>120</v>
      </c>
      <c r="B89" s="113">
        <f>F32</f>
        <v>0</v>
      </c>
      <c r="C89" s="114">
        <v>0</v>
      </c>
      <c r="D89" s="108"/>
    </row>
    <row r="90" spans="1:6" x14ac:dyDescent="0.25">
      <c r="A90" s="112" t="s">
        <v>121</v>
      </c>
      <c r="B90" s="113">
        <f>F37</f>
        <v>68640</v>
      </c>
      <c r="C90" s="114">
        <f>(B90/B94)</f>
        <v>1.3140237964596341E-2</v>
      </c>
      <c r="D90" s="108"/>
    </row>
    <row r="91" spans="1:6" x14ac:dyDescent="0.25">
      <c r="A91" s="112" t="s">
        <v>52</v>
      </c>
      <c r="B91" s="113">
        <f>F64</f>
        <v>3137898.2688200003</v>
      </c>
      <c r="C91" s="114">
        <f>(B91/B94)</f>
        <v>0.60070993532910411</v>
      </c>
      <c r="D91" s="108"/>
    </row>
    <row r="92" spans="1:6" x14ac:dyDescent="0.25">
      <c r="A92" s="112" t="s">
        <v>122</v>
      </c>
      <c r="B92" s="115">
        <f>F69</f>
        <v>141796.20000000001</v>
      </c>
      <c r="C92" s="114">
        <f>(B92/B94)</f>
        <v>2.714504385890874E-2</v>
      </c>
      <c r="D92" s="116"/>
    </row>
    <row r="93" spans="1:6" x14ac:dyDescent="0.25">
      <c r="A93" s="112" t="s">
        <v>123</v>
      </c>
      <c r="B93" s="115">
        <f>F72</f>
        <v>248745.22344100007</v>
      </c>
      <c r="C93" s="114">
        <f>(B93/B94)</f>
        <v>4.7619047619047623E-2</v>
      </c>
      <c r="D93" s="116"/>
    </row>
    <row r="94" spans="1:6" ht="15.75" thickBot="1" x14ac:dyDescent="0.3">
      <c r="A94" s="117" t="s">
        <v>124</v>
      </c>
      <c r="B94" s="118">
        <f>SUM(B88:B93)</f>
        <v>5223649.6922610011</v>
      </c>
      <c r="C94" s="119">
        <f>SUM(C88:C93)</f>
        <v>1</v>
      </c>
      <c r="D94" s="116"/>
    </row>
    <row r="95" spans="1:6" x14ac:dyDescent="0.25">
      <c r="A95" s="120"/>
      <c r="B95" s="121"/>
      <c r="C95" s="121"/>
      <c r="D95" s="121"/>
    </row>
    <row r="96" spans="1:6" ht="15.75" thickBot="1" x14ac:dyDescent="0.3">
      <c r="A96" s="122"/>
      <c r="B96" s="121"/>
      <c r="C96" s="121"/>
      <c r="D96" s="121"/>
    </row>
    <row r="97" spans="1:4" ht="15.75" thickBot="1" x14ac:dyDescent="0.3">
      <c r="A97" s="135" t="s">
        <v>125</v>
      </c>
      <c r="B97" s="136"/>
      <c r="C97" s="136"/>
      <c r="D97" s="137"/>
    </row>
    <row r="98" spans="1:4" x14ac:dyDescent="0.25">
      <c r="A98" s="123" t="s">
        <v>126</v>
      </c>
      <c r="B98" s="124">
        <v>2000</v>
      </c>
      <c r="C98" s="124">
        <f>F9</f>
        <v>2100</v>
      </c>
      <c r="D98" s="124">
        <v>2500</v>
      </c>
    </row>
    <row r="99" spans="1:4" ht="15.75" thickBot="1" x14ac:dyDescent="0.3">
      <c r="A99" s="117" t="s">
        <v>127</v>
      </c>
      <c r="B99" s="118">
        <f>(F73/B98)</f>
        <v>2611.8248461305006</v>
      </c>
      <c r="C99" s="118">
        <f>(F73/C98)</f>
        <v>2487.4522344100005</v>
      </c>
      <c r="D99" s="125">
        <f>(F73/D98)</f>
        <v>2089.4598769044005</v>
      </c>
    </row>
    <row r="100" spans="1:4" x14ac:dyDescent="0.25">
      <c r="A100" s="126" t="s">
        <v>128</v>
      </c>
      <c r="B100" s="127"/>
      <c r="C100" s="127"/>
      <c r="D100" s="127"/>
    </row>
  </sheetData>
  <mergeCells count="10">
    <mergeCell ref="A86:B86"/>
    <mergeCell ref="A97:D97"/>
    <mergeCell ref="D12:E12"/>
    <mergeCell ref="D13:E13"/>
    <mergeCell ref="A15:F15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170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4:N24"/>
  <sheetViews>
    <sheetView workbookViewId="0">
      <selection activeCell="N4" sqref="N4:N24"/>
    </sheetView>
  </sheetViews>
  <sheetFormatPr baseColWidth="10" defaultRowHeight="15" x14ac:dyDescent="0.25"/>
  <sheetData>
    <row r="4" spans="4:14" x14ac:dyDescent="0.25">
      <c r="D4">
        <v>272</v>
      </c>
      <c r="E4" s="40" t="s">
        <v>58</v>
      </c>
      <c r="F4" s="40">
        <v>295</v>
      </c>
      <c r="G4">
        <f xml:space="preserve"> D4*F4</f>
        <v>80240</v>
      </c>
      <c r="H4">
        <v>80240</v>
      </c>
      <c r="J4" s="40">
        <v>295</v>
      </c>
      <c r="K4">
        <v>3</v>
      </c>
      <c r="L4">
        <v>100</v>
      </c>
      <c r="M4">
        <f>(J4*K4)/L4</f>
        <v>8.85</v>
      </c>
      <c r="N4" s="50">
        <f>J4+M4</f>
        <v>303.85000000000002</v>
      </c>
    </row>
    <row r="5" spans="4:14" x14ac:dyDescent="0.25">
      <c r="D5">
        <v>278</v>
      </c>
      <c r="E5" s="40" t="s">
        <v>58</v>
      </c>
      <c r="F5" s="40">
        <v>587</v>
      </c>
      <c r="G5">
        <f t="shared" ref="G5:G24" si="0" xml:space="preserve"> D5*F5</f>
        <v>163186</v>
      </c>
      <c r="H5">
        <v>163186</v>
      </c>
      <c r="J5" s="40">
        <v>587</v>
      </c>
      <c r="K5">
        <v>3</v>
      </c>
      <c r="L5">
        <v>100</v>
      </c>
      <c r="M5">
        <f t="shared" ref="M5:M24" si="1">(J5*K5)/L5</f>
        <v>17.61</v>
      </c>
      <c r="N5" s="50">
        <f t="shared" ref="N5:N24" si="2">J5+M5</f>
        <v>604.61</v>
      </c>
    </row>
    <row r="6" spans="4:14" x14ac:dyDescent="0.25">
      <c r="D6">
        <v>63</v>
      </c>
      <c r="E6" s="40" t="s">
        <v>58</v>
      </c>
      <c r="F6" s="40">
        <v>677</v>
      </c>
      <c r="G6">
        <f t="shared" si="0"/>
        <v>42651</v>
      </c>
      <c r="H6">
        <v>42651</v>
      </c>
      <c r="J6" s="40">
        <v>677</v>
      </c>
      <c r="K6">
        <v>3</v>
      </c>
      <c r="L6">
        <v>100</v>
      </c>
      <c r="M6">
        <f t="shared" si="1"/>
        <v>20.309999999999999</v>
      </c>
      <c r="N6" s="50">
        <f t="shared" si="2"/>
        <v>697.31</v>
      </c>
    </row>
    <row r="7" spans="4:14" x14ac:dyDescent="0.25">
      <c r="D7">
        <v>39</v>
      </c>
      <c r="E7" s="40" t="s">
        <v>58</v>
      </c>
      <c r="F7" s="40">
        <v>824</v>
      </c>
      <c r="G7">
        <f t="shared" si="0"/>
        <v>32136</v>
      </c>
      <c r="H7">
        <v>32136</v>
      </c>
      <c r="J7" s="40">
        <v>824</v>
      </c>
      <c r="K7">
        <v>3</v>
      </c>
      <c r="L7">
        <v>100</v>
      </c>
      <c r="M7">
        <f t="shared" si="1"/>
        <v>24.72</v>
      </c>
      <c r="N7" s="50">
        <f t="shared" si="2"/>
        <v>848.72</v>
      </c>
    </row>
    <row r="8" spans="4:14" x14ac:dyDescent="0.25">
      <c r="D8">
        <v>33</v>
      </c>
      <c r="E8" s="40" t="s">
        <v>58</v>
      </c>
      <c r="F8" s="40">
        <v>739</v>
      </c>
      <c r="G8">
        <f t="shared" si="0"/>
        <v>24387</v>
      </c>
      <c r="H8">
        <v>24387</v>
      </c>
      <c r="J8" s="40">
        <v>739</v>
      </c>
      <c r="K8">
        <v>3</v>
      </c>
      <c r="L8">
        <v>100</v>
      </c>
      <c r="M8">
        <f t="shared" si="1"/>
        <v>22.17</v>
      </c>
      <c r="N8" s="50">
        <f t="shared" si="2"/>
        <v>761.17</v>
      </c>
    </row>
    <row r="9" spans="4:14" x14ac:dyDescent="0.25">
      <c r="D9">
        <v>6</v>
      </c>
      <c r="E9" s="40" t="s">
        <v>65</v>
      </c>
      <c r="F9" s="40">
        <v>9505</v>
      </c>
      <c r="G9">
        <f t="shared" si="0"/>
        <v>57030</v>
      </c>
      <c r="H9">
        <v>57030</v>
      </c>
      <c r="J9" s="40">
        <v>9505</v>
      </c>
      <c r="K9">
        <v>3</v>
      </c>
      <c r="L9">
        <v>100</v>
      </c>
      <c r="M9">
        <f t="shared" si="1"/>
        <v>285.14999999999998</v>
      </c>
      <c r="N9" s="50">
        <f t="shared" si="2"/>
        <v>9790.15</v>
      </c>
    </row>
    <row r="10" spans="4:14" x14ac:dyDescent="0.25">
      <c r="E10" s="40"/>
      <c r="F10" s="40"/>
      <c r="G10">
        <f t="shared" si="0"/>
        <v>0</v>
      </c>
      <c r="H10">
        <v>0</v>
      </c>
      <c r="J10" s="40"/>
      <c r="K10">
        <v>3</v>
      </c>
      <c r="L10">
        <v>100</v>
      </c>
      <c r="M10">
        <f t="shared" si="1"/>
        <v>0</v>
      </c>
      <c r="N10" s="50">
        <f t="shared" si="2"/>
        <v>0</v>
      </c>
    </row>
    <row r="11" spans="4:14" x14ac:dyDescent="0.25">
      <c r="D11">
        <v>4</v>
      </c>
      <c r="E11" s="40" t="s">
        <v>68</v>
      </c>
      <c r="F11" s="40">
        <v>2534.7600000000002</v>
      </c>
      <c r="G11">
        <f t="shared" si="0"/>
        <v>10139.040000000001</v>
      </c>
      <c r="H11">
        <v>10139.040000000001</v>
      </c>
      <c r="J11" s="40">
        <v>2534.7600000000002</v>
      </c>
      <c r="K11">
        <v>3</v>
      </c>
      <c r="L11">
        <v>100</v>
      </c>
      <c r="M11">
        <f t="shared" si="1"/>
        <v>76.0428</v>
      </c>
      <c r="N11" s="50">
        <f t="shared" si="2"/>
        <v>2610.8028000000004</v>
      </c>
    </row>
    <row r="12" spans="4:14" x14ac:dyDescent="0.25">
      <c r="D12">
        <v>2.5</v>
      </c>
      <c r="E12" s="40" t="s">
        <v>69</v>
      </c>
      <c r="F12" s="40">
        <v>9505</v>
      </c>
      <c r="G12">
        <f t="shared" si="0"/>
        <v>23762.5</v>
      </c>
      <c r="H12">
        <v>23762.5</v>
      </c>
      <c r="J12" s="40">
        <v>9505</v>
      </c>
      <c r="K12">
        <v>3</v>
      </c>
      <c r="L12">
        <v>100</v>
      </c>
      <c r="M12">
        <f t="shared" si="1"/>
        <v>285.14999999999998</v>
      </c>
      <c r="N12" s="50">
        <f t="shared" si="2"/>
        <v>9790.15</v>
      </c>
    </row>
    <row r="13" spans="4:14" x14ac:dyDescent="0.25">
      <c r="D13">
        <v>2.5</v>
      </c>
      <c r="E13" s="40" t="s">
        <v>71</v>
      </c>
      <c r="F13" s="40">
        <v>11210</v>
      </c>
      <c r="G13">
        <f t="shared" si="0"/>
        <v>28025</v>
      </c>
      <c r="H13">
        <v>28025</v>
      </c>
      <c r="J13" s="40">
        <v>11210</v>
      </c>
      <c r="K13">
        <v>3</v>
      </c>
      <c r="L13">
        <v>100</v>
      </c>
      <c r="M13">
        <f t="shared" si="1"/>
        <v>336.3</v>
      </c>
      <c r="N13" s="50">
        <f t="shared" si="2"/>
        <v>11546.3</v>
      </c>
    </row>
    <row r="14" spans="4:14" x14ac:dyDescent="0.25">
      <c r="E14" s="46"/>
      <c r="F14" s="40"/>
      <c r="G14">
        <f t="shared" si="0"/>
        <v>0</v>
      </c>
      <c r="H14">
        <v>0</v>
      </c>
      <c r="J14" s="40"/>
      <c r="K14">
        <v>3</v>
      </c>
      <c r="L14">
        <v>100</v>
      </c>
      <c r="M14">
        <f t="shared" si="1"/>
        <v>0</v>
      </c>
      <c r="N14" s="50">
        <f t="shared" si="2"/>
        <v>0</v>
      </c>
    </row>
    <row r="15" spans="4:14" x14ac:dyDescent="0.25">
      <c r="D15">
        <v>6</v>
      </c>
      <c r="E15" s="46" t="s">
        <v>74</v>
      </c>
      <c r="F15" s="40">
        <v>8512</v>
      </c>
      <c r="G15">
        <f t="shared" si="0"/>
        <v>51072</v>
      </c>
      <c r="H15">
        <v>51072</v>
      </c>
      <c r="J15" s="40">
        <v>8512</v>
      </c>
      <c r="K15">
        <v>3</v>
      </c>
      <c r="L15">
        <v>100</v>
      </c>
      <c r="M15">
        <f t="shared" si="1"/>
        <v>255.36</v>
      </c>
      <c r="N15" s="50">
        <f t="shared" si="2"/>
        <v>8767.36</v>
      </c>
    </row>
    <row r="16" spans="4:14" x14ac:dyDescent="0.25">
      <c r="D16">
        <v>6</v>
      </c>
      <c r="E16" s="46" t="s">
        <v>74</v>
      </c>
      <c r="F16" s="40">
        <v>11511</v>
      </c>
      <c r="G16">
        <f t="shared" si="0"/>
        <v>69066</v>
      </c>
      <c r="H16">
        <v>69066</v>
      </c>
      <c r="J16" s="40">
        <v>11511</v>
      </c>
      <c r="K16">
        <v>3</v>
      </c>
      <c r="L16">
        <v>100</v>
      </c>
      <c r="M16">
        <f t="shared" si="1"/>
        <v>345.33</v>
      </c>
      <c r="N16" s="50">
        <f t="shared" si="2"/>
        <v>11856.33</v>
      </c>
    </row>
    <row r="17" spans="4:14" x14ac:dyDescent="0.25">
      <c r="D17">
        <v>5</v>
      </c>
      <c r="E17" s="46" t="s">
        <v>74</v>
      </c>
      <c r="F17" s="40">
        <v>4607</v>
      </c>
      <c r="G17">
        <f t="shared" si="0"/>
        <v>23035</v>
      </c>
      <c r="H17">
        <v>23035</v>
      </c>
      <c r="J17" s="40">
        <v>4607</v>
      </c>
      <c r="K17">
        <v>3</v>
      </c>
      <c r="L17">
        <v>100</v>
      </c>
      <c r="M17">
        <f t="shared" si="1"/>
        <v>138.21</v>
      </c>
      <c r="N17" s="50">
        <f t="shared" si="2"/>
        <v>4745.21</v>
      </c>
    </row>
    <row r="18" spans="4:14" x14ac:dyDescent="0.25">
      <c r="E18" s="40"/>
      <c r="F18" s="40"/>
      <c r="G18">
        <f t="shared" si="0"/>
        <v>0</v>
      </c>
      <c r="H18">
        <v>0</v>
      </c>
      <c r="J18" s="40"/>
      <c r="K18">
        <v>3</v>
      </c>
      <c r="L18">
        <v>100</v>
      </c>
      <c r="M18">
        <f t="shared" si="1"/>
        <v>0</v>
      </c>
      <c r="N18" s="50">
        <f t="shared" si="2"/>
        <v>0</v>
      </c>
    </row>
    <row r="19" spans="4:14" x14ac:dyDescent="0.25">
      <c r="D19">
        <v>10</v>
      </c>
      <c r="E19" s="40" t="s">
        <v>79</v>
      </c>
      <c r="F19" s="40">
        <v>7095</v>
      </c>
      <c r="G19">
        <f t="shared" si="0"/>
        <v>70950</v>
      </c>
      <c r="H19">
        <v>70950</v>
      </c>
      <c r="J19" s="40">
        <v>7095</v>
      </c>
      <c r="K19">
        <v>3</v>
      </c>
      <c r="L19">
        <v>100</v>
      </c>
      <c r="M19">
        <f t="shared" si="1"/>
        <v>212.85</v>
      </c>
      <c r="N19" s="50">
        <f t="shared" si="2"/>
        <v>7307.85</v>
      </c>
    </row>
    <row r="20" spans="4:14" x14ac:dyDescent="0.25">
      <c r="D20">
        <v>2</v>
      </c>
      <c r="E20" s="40" t="s">
        <v>79</v>
      </c>
      <c r="F20" s="40">
        <v>17502</v>
      </c>
      <c r="G20">
        <f t="shared" si="0"/>
        <v>35004</v>
      </c>
      <c r="H20">
        <v>35004</v>
      </c>
      <c r="J20" s="40">
        <v>17502</v>
      </c>
      <c r="K20">
        <v>3</v>
      </c>
      <c r="L20">
        <v>100</v>
      </c>
      <c r="M20">
        <f t="shared" si="1"/>
        <v>525.05999999999995</v>
      </c>
      <c r="N20" s="50">
        <f t="shared" si="2"/>
        <v>18027.060000000001</v>
      </c>
    </row>
    <row r="21" spans="4:14" x14ac:dyDescent="0.25">
      <c r="E21" s="40"/>
      <c r="F21" s="40"/>
      <c r="G21">
        <f t="shared" si="0"/>
        <v>0</v>
      </c>
      <c r="H21">
        <v>0</v>
      </c>
      <c r="J21" s="40"/>
      <c r="K21">
        <v>3</v>
      </c>
      <c r="L21">
        <v>100</v>
      </c>
      <c r="M21">
        <f t="shared" si="1"/>
        <v>0</v>
      </c>
      <c r="N21" s="50">
        <f t="shared" si="2"/>
        <v>0</v>
      </c>
    </row>
    <row r="22" spans="4:14" x14ac:dyDescent="0.25">
      <c r="D22">
        <v>1</v>
      </c>
      <c r="E22" s="40" t="s">
        <v>74</v>
      </c>
      <c r="F22" s="40">
        <v>9679</v>
      </c>
      <c r="G22">
        <f t="shared" si="0"/>
        <v>9679</v>
      </c>
      <c r="H22">
        <v>9679</v>
      </c>
      <c r="J22" s="40">
        <v>9679</v>
      </c>
      <c r="K22">
        <v>3</v>
      </c>
      <c r="L22">
        <v>100</v>
      </c>
      <c r="M22">
        <f t="shared" si="1"/>
        <v>290.37</v>
      </c>
      <c r="N22" s="50">
        <f t="shared" si="2"/>
        <v>9969.3700000000008</v>
      </c>
    </row>
    <row r="23" spans="4:14" x14ac:dyDescent="0.25">
      <c r="D23">
        <v>1</v>
      </c>
      <c r="E23" s="40" t="s">
        <v>74</v>
      </c>
      <c r="F23" s="40">
        <v>7781</v>
      </c>
      <c r="G23">
        <f t="shared" si="0"/>
        <v>7781</v>
      </c>
      <c r="H23">
        <v>7781</v>
      </c>
      <c r="J23" s="40">
        <v>7781</v>
      </c>
      <c r="K23">
        <v>3</v>
      </c>
      <c r="L23">
        <v>100</v>
      </c>
      <c r="M23">
        <f t="shared" si="1"/>
        <v>233.43</v>
      </c>
      <c r="N23" s="50">
        <f t="shared" si="2"/>
        <v>8014.43</v>
      </c>
    </row>
    <row r="24" spans="4:14" x14ac:dyDescent="0.25">
      <c r="D24">
        <v>40</v>
      </c>
      <c r="E24" s="40" t="s">
        <v>86</v>
      </c>
      <c r="F24" s="40">
        <v>17850</v>
      </c>
      <c r="G24">
        <f t="shared" si="0"/>
        <v>714000</v>
      </c>
      <c r="H24">
        <v>714000</v>
      </c>
      <c r="J24" s="40">
        <v>17850</v>
      </c>
      <c r="K24">
        <v>3</v>
      </c>
      <c r="L24">
        <v>100</v>
      </c>
      <c r="M24">
        <f t="shared" si="1"/>
        <v>535.5</v>
      </c>
      <c r="N24" s="50">
        <f t="shared" si="2"/>
        <v>18385.5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H100"/>
  <sheetViews>
    <sheetView tabSelected="1" topLeftCell="A33" zoomScale="120" zoomScaleNormal="120" workbookViewId="0">
      <selection activeCell="F97" sqref="F97"/>
    </sheetView>
  </sheetViews>
  <sheetFormatPr baseColWidth="10" defaultRowHeight="15" x14ac:dyDescent="0.25"/>
  <cols>
    <col min="1" max="1" width="23.28515625" customWidth="1"/>
    <col min="2" max="2" width="21.140625" customWidth="1"/>
    <col min="5" max="5" width="12.7109375" customWidth="1"/>
    <col min="6" max="6" width="24" customWidth="1"/>
  </cols>
  <sheetData>
    <row r="6" spans="1:6" x14ac:dyDescent="0.25">
      <c r="A6" s="1"/>
      <c r="B6" s="1"/>
      <c r="C6" s="1"/>
      <c r="D6" s="2"/>
      <c r="E6" s="1"/>
      <c r="F6" s="1"/>
    </row>
    <row r="7" spans="1:6" ht="15" customHeight="1" x14ac:dyDescent="0.25">
      <c r="A7" s="56" t="s">
        <v>0</v>
      </c>
      <c r="B7" s="37" t="s">
        <v>1</v>
      </c>
      <c r="C7" s="3"/>
      <c r="D7" s="130" t="s">
        <v>114</v>
      </c>
      <c r="E7" s="131"/>
      <c r="F7" s="45">
        <v>4500</v>
      </c>
    </row>
    <row r="8" spans="1:6" ht="20.25" customHeight="1" x14ac:dyDescent="0.25">
      <c r="A8" s="128" t="s">
        <v>2</v>
      </c>
      <c r="B8" s="39" t="s">
        <v>3</v>
      </c>
      <c r="C8" s="3"/>
      <c r="D8" s="132" t="s">
        <v>4</v>
      </c>
      <c r="E8" s="132"/>
      <c r="F8" s="24" t="s">
        <v>5</v>
      </c>
    </row>
    <row r="9" spans="1:6" ht="15" customHeight="1" x14ac:dyDescent="0.25">
      <c r="A9" s="128" t="s">
        <v>6</v>
      </c>
      <c r="B9" s="47" t="s">
        <v>109</v>
      </c>
      <c r="C9" s="3"/>
      <c r="D9" s="132" t="s">
        <v>7</v>
      </c>
      <c r="E9" s="132"/>
      <c r="F9" s="25">
        <v>2100</v>
      </c>
    </row>
    <row r="10" spans="1:6" ht="19.5" customHeight="1" x14ac:dyDescent="0.25">
      <c r="A10" s="128" t="s">
        <v>8</v>
      </c>
      <c r="B10" s="37" t="s">
        <v>9</v>
      </c>
      <c r="C10" s="3"/>
      <c r="D10" s="132" t="s">
        <v>10</v>
      </c>
      <c r="E10" s="132"/>
      <c r="F10" s="51">
        <f>(F7*F9)</f>
        <v>9450000</v>
      </c>
    </row>
    <row r="11" spans="1:6" x14ac:dyDescent="0.25">
      <c r="A11" s="128" t="s">
        <v>11</v>
      </c>
      <c r="B11" s="37" t="s">
        <v>107</v>
      </c>
      <c r="C11" s="3"/>
      <c r="D11" s="132" t="s">
        <v>12</v>
      </c>
      <c r="E11" s="132"/>
      <c r="F11" s="23" t="s">
        <v>13</v>
      </c>
    </row>
    <row r="12" spans="1:6" ht="27" x14ac:dyDescent="0.25">
      <c r="A12" s="128" t="s">
        <v>14</v>
      </c>
      <c r="B12" s="47" t="s">
        <v>108</v>
      </c>
      <c r="C12" s="3"/>
      <c r="D12" s="132" t="s">
        <v>15</v>
      </c>
      <c r="E12" s="132"/>
      <c r="F12" s="26" t="s">
        <v>16</v>
      </c>
    </row>
    <row r="13" spans="1:6" x14ac:dyDescent="0.25">
      <c r="A13" s="128" t="s">
        <v>17</v>
      </c>
      <c r="B13" s="48">
        <v>44713</v>
      </c>
      <c r="C13" s="3"/>
      <c r="D13" s="138" t="s">
        <v>18</v>
      </c>
      <c r="E13" s="138"/>
      <c r="F13" s="26" t="s">
        <v>110</v>
      </c>
    </row>
    <row r="14" spans="1:6" x14ac:dyDescent="0.25">
      <c r="A14" s="4"/>
      <c r="B14" s="5"/>
      <c r="C14" s="3"/>
      <c r="D14" s="3"/>
      <c r="E14" s="3"/>
      <c r="F14" s="6"/>
    </row>
    <row r="15" spans="1:6" x14ac:dyDescent="0.25">
      <c r="A15" s="139" t="s">
        <v>19</v>
      </c>
      <c r="B15" s="140"/>
      <c r="C15" s="140"/>
      <c r="D15" s="140"/>
      <c r="E15" s="140"/>
      <c r="F15" s="140"/>
    </row>
    <row r="16" spans="1:6" x14ac:dyDescent="0.25">
      <c r="A16" s="1"/>
      <c r="B16" s="7"/>
      <c r="C16" s="7"/>
      <c r="D16" s="8"/>
      <c r="E16" s="9"/>
      <c r="F16" s="10"/>
    </row>
    <row r="17" spans="1:6" x14ac:dyDescent="0.25">
      <c r="A17" s="57" t="s">
        <v>20</v>
      </c>
      <c r="B17" s="58"/>
      <c r="C17" s="59"/>
      <c r="D17" s="59"/>
      <c r="E17" s="59"/>
      <c r="F17" s="60"/>
    </row>
    <row r="18" spans="1:6" ht="19.899999999999999" customHeight="1" x14ac:dyDescent="0.25">
      <c r="A18" s="61" t="s">
        <v>21</v>
      </c>
      <c r="B18" s="61" t="s">
        <v>22</v>
      </c>
      <c r="C18" s="61" t="s">
        <v>23</v>
      </c>
      <c r="D18" s="61" t="s">
        <v>24</v>
      </c>
      <c r="E18" s="61" t="s">
        <v>25</v>
      </c>
      <c r="F18" s="61" t="s">
        <v>26</v>
      </c>
    </row>
    <row r="19" spans="1:6" ht="27" x14ac:dyDescent="0.25">
      <c r="A19" s="27" t="s">
        <v>27</v>
      </c>
      <c r="B19" s="11" t="s">
        <v>28</v>
      </c>
      <c r="C19" s="12">
        <v>8</v>
      </c>
      <c r="D19" s="13" t="s">
        <v>29</v>
      </c>
      <c r="E19" s="30">
        <v>26000</v>
      </c>
      <c r="F19" s="30">
        <f>C19*E19</f>
        <v>208000</v>
      </c>
    </row>
    <row r="20" spans="1:6" x14ac:dyDescent="0.25">
      <c r="A20" s="27" t="s">
        <v>30</v>
      </c>
      <c r="B20" s="11" t="s">
        <v>28</v>
      </c>
      <c r="C20" s="12">
        <v>8</v>
      </c>
      <c r="D20" s="13" t="s">
        <v>31</v>
      </c>
      <c r="E20" s="30">
        <v>26000</v>
      </c>
      <c r="F20" s="30">
        <f t="shared" ref="F20:F26" si="0">C20*E20</f>
        <v>208000</v>
      </c>
    </row>
    <row r="21" spans="1:6" x14ac:dyDescent="0.25">
      <c r="A21" s="27" t="s">
        <v>32</v>
      </c>
      <c r="B21" s="11" t="s">
        <v>28</v>
      </c>
      <c r="C21" s="12">
        <v>4</v>
      </c>
      <c r="D21" s="13" t="s">
        <v>33</v>
      </c>
      <c r="E21" s="30">
        <v>26000</v>
      </c>
      <c r="F21" s="30">
        <f t="shared" si="0"/>
        <v>104000</v>
      </c>
    </row>
    <row r="22" spans="1:6" x14ac:dyDescent="0.25">
      <c r="A22" s="28" t="s">
        <v>34</v>
      </c>
      <c r="B22" s="14" t="s">
        <v>28</v>
      </c>
      <c r="C22" s="15">
        <v>14</v>
      </c>
      <c r="D22" s="16" t="s">
        <v>35</v>
      </c>
      <c r="E22" s="30">
        <v>26000</v>
      </c>
      <c r="F22" s="30">
        <f t="shared" si="0"/>
        <v>364000</v>
      </c>
    </row>
    <row r="23" spans="1:6" x14ac:dyDescent="0.25">
      <c r="A23" s="28" t="s">
        <v>36</v>
      </c>
      <c r="B23" s="14" t="s">
        <v>28</v>
      </c>
      <c r="C23" s="15">
        <v>9</v>
      </c>
      <c r="D23" s="16" t="s">
        <v>35</v>
      </c>
      <c r="E23" s="30">
        <v>26000</v>
      </c>
      <c r="F23" s="30">
        <f t="shared" si="0"/>
        <v>234000</v>
      </c>
    </row>
    <row r="24" spans="1:6" x14ac:dyDescent="0.25">
      <c r="A24" s="28" t="s">
        <v>37</v>
      </c>
      <c r="B24" s="14" t="s">
        <v>28</v>
      </c>
      <c r="C24" s="17">
        <v>6</v>
      </c>
      <c r="D24" s="16" t="s">
        <v>38</v>
      </c>
      <c r="E24" s="30">
        <v>26000</v>
      </c>
      <c r="F24" s="30">
        <f t="shared" si="0"/>
        <v>156000</v>
      </c>
    </row>
    <row r="25" spans="1:6" x14ac:dyDescent="0.25">
      <c r="A25" s="28" t="s">
        <v>39</v>
      </c>
      <c r="B25" s="14" t="s">
        <v>28</v>
      </c>
      <c r="C25" s="17">
        <v>2</v>
      </c>
      <c r="D25" s="16" t="s">
        <v>40</v>
      </c>
      <c r="E25" s="30">
        <v>26000</v>
      </c>
      <c r="F25" s="30">
        <f t="shared" si="0"/>
        <v>52000</v>
      </c>
    </row>
    <row r="26" spans="1:6" x14ac:dyDescent="0.25">
      <c r="A26" s="29" t="s">
        <v>41</v>
      </c>
      <c r="B26" s="18" t="s">
        <v>28</v>
      </c>
      <c r="C26" s="19">
        <v>18.75</v>
      </c>
      <c r="D26" s="20" t="s">
        <v>42</v>
      </c>
      <c r="E26" s="30">
        <v>26000</v>
      </c>
      <c r="F26" s="30">
        <f t="shared" si="0"/>
        <v>487500</v>
      </c>
    </row>
    <row r="27" spans="1:6" x14ac:dyDescent="0.25">
      <c r="A27" s="62" t="s">
        <v>43</v>
      </c>
      <c r="B27" s="63"/>
      <c r="C27" s="63"/>
      <c r="D27" s="63"/>
      <c r="E27" s="64"/>
      <c r="F27" s="95">
        <f>SUM(F19:F26)</f>
        <v>1813500</v>
      </c>
    </row>
    <row r="28" spans="1:6" x14ac:dyDescent="0.25">
      <c r="A28" s="3"/>
      <c r="B28" s="3"/>
      <c r="C28" s="3"/>
      <c r="D28" s="3"/>
      <c r="E28" s="3"/>
      <c r="F28" s="3"/>
    </row>
    <row r="29" spans="1:6" x14ac:dyDescent="0.25">
      <c r="A29" s="65" t="s">
        <v>44</v>
      </c>
      <c r="B29" s="66"/>
      <c r="C29" s="67"/>
      <c r="D29" s="67"/>
      <c r="E29" s="68"/>
      <c r="F29" s="69"/>
    </row>
    <row r="30" spans="1:6" ht="24" x14ac:dyDescent="0.25">
      <c r="A30" s="70" t="s">
        <v>21</v>
      </c>
      <c r="B30" s="71" t="s">
        <v>22</v>
      </c>
      <c r="C30" s="71" t="s">
        <v>23</v>
      </c>
      <c r="D30" s="70" t="s">
        <v>115</v>
      </c>
      <c r="E30" s="71" t="s">
        <v>25</v>
      </c>
      <c r="F30" s="70" t="s">
        <v>26</v>
      </c>
    </row>
    <row r="31" spans="1:6" x14ac:dyDescent="0.25">
      <c r="A31" s="72"/>
      <c r="B31" s="73" t="s">
        <v>115</v>
      </c>
      <c r="C31" s="73" t="s">
        <v>115</v>
      </c>
      <c r="D31" s="73" t="s">
        <v>115</v>
      </c>
      <c r="E31" s="74" t="s">
        <v>115</v>
      </c>
      <c r="F31" s="75"/>
    </row>
    <row r="32" spans="1:6" x14ac:dyDescent="0.25">
      <c r="A32" s="76" t="s">
        <v>45</v>
      </c>
      <c r="B32" s="77"/>
      <c r="C32" s="77"/>
      <c r="D32" s="77"/>
      <c r="E32" s="78"/>
      <c r="F32" s="79"/>
    </row>
    <row r="33" spans="1:8" x14ac:dyDescent="0.25">
      <c r="A33" s="3"/>
      <c r="B33" s="3"/>
      <c r="C33" s="3"/>
      <c r="D33" s="3"/>
      <c r="E33" s="3"/>
      <c r="F33" s="3"/>
    </row>
    <row r="34" spans="1:8" x14ac:dyDescent="0.25">
      <c r="A34" s="65" t="s">
        <v>46</v>
      </c>
      <c r="B34" s="66"/>
      <c r="C34" s="67"/>
      <c r="D34" s="67"/>
      <c r="E34" s="68"/>
      <c r="F34" s="69"/>
    </row>
    <row r="35" spans="1:8" ht="24" x14ac:dyDescent="0.25">
      <c r="A35" s="80" t="s">
        <v>21</v>
      </c>
      <c r="B35" s="80" t="s">
        <v>22</v>
      </c>
      <c r="C35" s="80" t="s">
        <v>23</v>
      </c>
      <c r="D35" s="80" t="s">
        <v>24</v>
      </c>
      <c r="E35" s="81" t="s">
        <v>25</v>
      </c>
      <c r="F35" s="80" t="s">
        <v>26</v>
      </c>
    </row>
    <row r="36" spans="1:8" x14ac:dyDescent="0.25">
      <c r="A36" s="32" t="s">
        <v>48</v>
      </c>
      <c r="B36" s="34" t="s">
        <v>47</v>
      </c>
      <c r="C36" s="33">
        <v>0.39</v>
      </c>
      <c r="D36" s="16" t="s">
        <v>49</v>
      </c>
      <c r="E36" s="31">
        <v>180000</v>
      </c>
      <c r="F36" s="31">
        <f>E36*C36</f>
        <v>70200</v>
      </c>
      <c r="G36" s="49"/>
    </row>
    <row r="37" spans="1:8" x14ac:dyDescent="0.25">
      <c r="A37" s="82" t="s">
        <v>50</v>
      </c>
      <c r="B37" s="63"/>
      <c r="C37" s="63"/>
      <c r="D37" s="63"/>
      <c r="E37" s="64"/>
      <c r="F37" s="95">
        <f>SUM(F29:F36)</f>
        <v>70200</v>
      </c>
    </row>
    <row r="38" spans="1:8" x14ac:dyDescent="0.25">
      <c r="A38" s="3"/>
      <c r="B38" s="3"/>
      <c r="C38" s="3"/>
      <c r="D38" s="3"/>
      <c r="E38" s="3"/>
      <c r="F38" s="3"/>
    </row>
    <row r="39" spans="1:8" x14ac:dyDescent="0.25">
      <c r="A39" s="65" t="s">
        <v>51</v>
      </c>
      <c r="B39" s="66"/>
      <c r="C39" s="67"/>
      <c r="D39" s="67"/>
      <c r="E39" s="68"/>
      <c r="F39" s="69"/>
    </row>
    <row r="40" spans="1:8" ht="24" x14ac:dyDescent="0.25">
      <c r="A40" s="83" t="s">
        <v>52</v>
      </c>
      <c r="B40" s="83" t="s">
        <v>53</v>
      </c>
      <c r="C40" s="83" t="s">
        <v>54</v>
      </c>
      <c r="D40" s="83" t="s">
        <v>24</v>
      </c>
      <c r="E40" s="83" t="s">
        <v>25</v>
      </c>
      <c r="F40" s="84" t="s">
        <v>26</v>
      </c>
    </row>
    <row r="41" spans="1:8" x14ac:dyDescent="0.25">
      <c r="A41" s="52" t="s">
        <v>111</v>
      </c>
      <c r="B41" s="53" t="s">
        <v>112</v>
      </c>
      <c r="C41" s="55">
        <v>750</v>
      </c>
      <c r="D41" s="53" t="s">
        <v>113</v>
      </c>
      <c r="E41" s="54">
        <f>Paltos!E41*'Al 22.06.22'!$H$41</f>
        <v>2090</v>
      </c>
      <c r="F41" s="54">
        <f>(C41*E41)</f>
        <v>1567500</v>
      </c>
      <c r="H41">
        <v>1.0449999999999999</v>
      </c>
    </row>
    <row r="42" spans="1:8" x14ac:dyDescent="0.25">
      <c r="A42" s="36" t="s">
        <v>55</v>
      </c>
      <c r="B42" s="37"/>
      <c r="C42" s="38"/>
      <c r="D42" s="39"/>
      <c r="E42" s="54">
        <f>Paltos!E42*'Al 22.06.22'!$H$41</f>
        <v>0</v>
      </c>
      <c r="F42" s="40"/>
    </row>
    <row r="43" spans="1:8" x14ac:dyDescent="0.25">
      <c r="A43" s="41" t="s">
        <v>56</v>
      </c>
      <c r="B43" s="37" t="s">
        <v>57</v>
      </c>
      <c r="C43" s="38">
        <v>272</v>
      </c>
      <c r="D43" s="39" t="s">
        <v>58</v>
      </c>
      <c r="E43" s="54">
        <f>Paltos!E43*'Al 22.06.22'!$H$41</f>
        <v>349.27557500000006</v>
      </c>
      <c r="F43" s="40">
        <f>C43*E43</f>
        <v>95002.95640000001</v>
      </c>
    </row>
    <row r="44" spans="1:8" x14ac:dyDescent="0.25">
      <c r="A44" s="41" t="s">
        <v>59</v>
      </c>
      <c r="B44" s="37" t="s">
        <v>57</v>
      </c>
      <c r="C44" s="38">
        <v>278</v>
      </c>
      <c r="D44" s="39" t="s">
        <v>58</v>
      </c>
      <c r="E44" s="54">
        <f>Paltos!E44*'Al 22.06.22'!$H$41</f>
        <v>694.99919499999999</v>
      </c>
      <c r="F44" s="40">
        <f t="shared" ref="F44:F63" si="1">C44*E44</f>
        <v>193209.77620999998</v>
      </c>
    </row>
    <row r="45" spans="1:8" x14ac:dyDescent="0.25">
      <c r="A45" s="41" t="s">
        <v>60</v>
      </c>
      <c r="B45" s="37" t="s">
        <v>57</v>
      </c>
      <c r="C45" s="38">
        <v>63</v>
      </c>
      <c r="D45" s="39" t="s">
        <v>58</v>
      </c>
      <c r="E45" s="54">
        <f>Paltos!E45*'Al 22.06.22'!$H$41</f>
        <v>801.55784500000004</v>
      </c>
      <c r="F45" s="40">
        <f t="shared" si="1"/>
        <v>50498.144235</v>
      </c>
    </row>
    <row r="46" spans="1:8" x14ac:dyDescent="0.25">
      <c r="A46" s="41" t="s">
        <v>61</v>
      </c>
      <c r="B46" s="37" t="s">
        <v>62</v>
      </c>
      <c r="C46" s="38">
        <v>39</v>
      </c>
      <c r="D46" s="39" t="s">
        <v>58</v>
      </c>
      <c r="E46" s="54">
        <f>Paltos!E46*'Al 22.06.22'!$H$41</f>
        <v>975.60364000000004</v>
      </c>
      <c r="F46" s="40">
        <f t="shared" si="1"/>
        <v>38048.541960000002</v>
      </c>
    </row>
    <row r="47" spans="1:8" x14ac:dyDescent="0.25">
      <c r="A47" s="41" t="s">
        <v>63</v>
      </c>
      <c r="B47" s="37" t="s">
        <v>57</v>
      </c>
      <c r="C47" s="38">
        <v>33</v>
      </c>
      <c r="D47" s="39" t="s">
        <v>58</v>
      </c>
      <c r="E47" s="54">
        <f>Paltos!E47*'Al 22.06.22'!$H$41</f>
        <v>795.42264999999986</v>
      </c>
      <c r="F47" s="40">
        <f t="shared" si="1"/>
        <v>26248.947449999996</v>
      </c>
    </row>
    <row r="48" spans="1:8" x14ac:dyDescent="0.25">
      <c r="A48" s="41" t="s">
        <v>64</v>
      </c>
      <c r="B48" s="37" t="s">
        <v>62</v>
      </c>
      <c r="C48" s="38">
        <v>6</v>
      </c>
      <c r="D48" s="39" t="s">
        <v>65</v>
      </c>
      <c r="E48" s="54">
        <f>Paltos!E48*'Al 22.06.22'!$H$41</f>
        <v>12379.155167500001</v>
      </c>
      <c r="F48" s="40">
        <f t="shared" si="1"/>
        <v>74274.931005000006</v>
      </c>
    </row>
    <row r="49" spans="1:6" x14ac:dyDescent="0.25">
      <c r="A49" s="42" t="s">
        <v>66</v>
      </c>
      <c r="B49" s="37"/>
      <c r="C49" s="38"/>
      <c r="D49" s="39"/>
      <c r="E49" s="54">
        <f>Paltos!E49*'Al 22.06.22'!$H$41</f>
        <v>0</v>
      </c>
      <c r="F49" s="40">
        <f t="shared" si="1"/>
        <v>0</v>
      </c>
    </row>
    <row r="50" spans="1:6" x14ac:dyDescent="0.25">
      <c r="A50" s="129" t="s">
        <v>67</v>
      </c>
      <c r="B50" s="37" t="s">
        <v>57</v>
      </c>
      <c r="C50" s="38">
        <v>4</v>
      </c>
      <c r="D50" s="39" t="s">
        <v>68</v>
      </c>
      <c r="E50" s="54">
        <f>Paltos!E50*'Al 22.06.22'!$H$41</f>
        <v>3001.1178185999997</v>
      </c>
      <c r="F50" s="40">
        <f t="shared" si="1"/>
        <v>12004.471274399999</v>
      </c>
    </row>
    <row r="51" spans="1:6" x14ac:dyDescent="0.25">
      <c r="A51" s="129" t="s">
        <v>64</v>
      </c>
      <c r="B51" s="37" t="s">
        <v>62</v>
      </c>
      <c r="C51" s="38">
        <v>2.5</v>
      </c>
      <c r="D51" s="39" t="s">
        <v>69</v>
      </c>
      <c r="E51" s="54">
        <f>Paltos!E51*'Al 22.06.22'!$H$41</f>
        <v>11253.777425</v>
      </c>
      <c r="F51" s="40">
        <f t="shared" si="1"/>
        <v>28134.443562500001</v>
      </c>
    </row>
    <row r="52" spans="1:6" x14ac:dyDescent="0.25">
      <c r="A52" s="129" t="s">
        <v>70</v>
      </c>
      <c r="B52" s="37" t="s">
        <v>62</v>
      </c>
      <c r="C52" s="43">
        <v>2.5</v>
      </c>
      <c r="D52" s="39" t="s">
        <v>71</v>
      </c>
      <c r="E52" s="54">
        <f>Paltos!E52*'Al 22.06.22'!$H$41</f>
        <v>13272.47185</v>
      </c>
      <c r="F52" s="40">
        <f t="shared" si="1"/>
        <v>33181.179624999997</v>
      </c>
    </row>
    <row r="53" spans="1:6" x14ac:dyDescent="0.25">
      <c r="A53" s="36" t="s">
        <v>72</v>
      </c>
      <c r="B53" s="129"/>
      <c r="C53" s="129"/>
      <c r="D53" s="129"/>
      <c r="E53" s="54">
        <f>Paltos!E53*'Al 22.06.22'!$H$41</f>
        <v>0</v>
      </c>
      <c r="F53" s="40">
        <f t="shared" si="1"/>
        <v>0</v>
      </c>
    </row>
    <row r="54" spans="1:6" x14ac:dyDescent="0.25">
      <c r="A54" s="41" t="s">
        <v>73</v>
      </c>
      <c r="B54" s="37" t="s">
        <v>62</v>
      </c>
      <c r="C54" s="37">
        <v>6</v>
      </c>
      <c r="D54" s="129" t="s">
        <v>74</v>
      </c>
      <c r="E54" s="54">
        <f>Paltos!E54*'Al 22.06.22'!$H$41</f>
        <v>10078.080320000001</v>
      </c>
      <c r="F54" s="40">
        <f t="shared" si="1"/>
        <v>60468.481920000006</v>
      </c>
    </row>
    <row r="55" spans="1:6" x14ac:dyDescent="0.25">
      <c r="A55" s="41" t="s">
        <v>75</v>
      </c>
      <c r="B55" s="37" t="s">
        <v>62</v>
      </c>
      <c r="C55" s="37">
        <v>6</v>
      </c>
      <c r="D55" s="129" t="s">
        <v>74</v>
      </c>
      <c r="E55" s="54">
        <f>Paltos!E55*'Al 22.06.22'!$H$41</f>
        <v>13628.851335000001</v>
      </c>
      <c r="F55" s="40">
        <f t="shared" si="1"/>
        <v>81773.108010000011</v>
      </c>
    </row>
    <row r="56" spans="1:6" x14ac:dyDescent="0.25">
      <c r="A56" s="41" t="s">
        <v>76</v>
      </c>
      <c r="B56" s="37" t="s">
        <v>62</v>
      </c>
      <c r="C56" s="37">
        <v>5</v>
      </c>
      <c r="D56" s="129" t="s">
        <v>74</v>
      </c>
      <c r="E56" s="54">
        <f>Paltos!E56*'Al 22.06.22'!$H$41</f>
        <v>5454.6188950000005</v>
      </c>
      <c r="F56" s="40">
        <f t="shared" si="1"/>
        <v>27273.094475000002</v>
      </c>
    </row>
    <row r="57" spans="1:6" x14ac:dyDescent="0.25">
      <c r="A57" s="36" t="s">
        <v>77</v>
      </c>
      <c r="B57" s="37"/>
      <c r="C57" s="38"/>
      <c r="D57" s="39"/>
      <c r="E57" s="54">
        <f>Paltos!E57*'Al 22.06.22'!$H$41</f>
        <v>0</v>
      </c>
      <c r="F57" s="40">
        <f t="shared" si="1"/>
        <v>0</v>
      </c>
    </row>
    <row r="58" spans="1:6" x14ac:dyDescent="0.25">
      <c r="A58" s="41" t="s">
        <v>78</v>
      </c>
      <c r="B58" s="37" t="s">
        <v>62</v>
      </c>
      <c r="C58" s="38">
        <v>10</v>
      </c>
      <c r="D58" s="39" t="s">
        <v>79</v>
      </c>
      <c r="E58" s="54">
        <f>Paltos!E58*'Al 22.06.22'!$H$41</f>
        <v>8400.3735750000014</v>
      </c>
      <c r="F58" s="40">
        <f t="shared" si="1"/>
        <v>84003.735750000022</v>
      </c>
    </row>
    <row r="59" spans="1:6" x14ac:dyDescent="0.25">
      <c r="A59" s="41" t="s">
        <v>80</v>
      </c>
      <c r="B59" s="37" t="s">
        <v>62</v>
      </c>
      <c r="C59" s="38">
        <v>2</v>
      </c>
      <c r="D59" s="39" t="s">
        <v>79</v>
      </c>
      <c r="E59" s="54">
        <f>Paltos!E59*'Al 22.06.22'!$H$41</f>
        <v>20722.105470000002</v>
      </c>
      <c r="F59" s="40">
        <f t="shared" si="1"/>
        <v>41444.210940000004</v>
      </c>
    </row>
    <row r="60" spans="1:6" x14ac:dyDescent="0.25">
      <c r="A60" s="36" t="s">
        <v>81</v>
      </c>
      <c r="B60" s="37"/>
      <c r="C60" s="38"/>
      <c r="D60" s="37"/>
      <c r="E60" s="54">
        <f>Paltos!E60*'Al 22.06.22'!$H$41</f>
        <v>0</v>
      </c>
      <c r="F60" s="40">
        <f t="shared" si="1"/>
        <v>0</v>
      </c>
    </row>
    <row r="61" spans="1:6" x14ac:dyDescent="0.25">
      <c r="A61" s="41" t="s">
        <v>82</v>
      </c>
      <c r="B61" s="37" t="s">
        <v>62</v>
      </c>
      <c r="C61" s="38">
        <v>1</v>
      </c>
      <c r="D61" s="37" t="s">
        <v>74</v>
      </c>
      <c r="E61" s="54">
        <f>Paltos!E61*'Al 22.06.22'!$H$41</f>
        <v>11459.790815000002</v>
      </c>
      <c r="F61" s="40">
        <f t="shared" si="1"/>
        <v>11459.790815000002</v>
      </c>
    </row>
    <row r="62" spans="1:6" x14ac:dyDescent="0.25">
      <c r="A62" s="41" t="s">
        <v>83</v>
      </c>
      <c r="B62" s="37" t="s">
        <v>62</v>
      </c>
      <c r="C62" s="38">
        <v>1</v>
      </c>
      <c r="D62" s="39" t="s">
        <v>74</v>
      </c>
      <c r="E62" s="54">
        <f>Paltos!E62*'Al 22.06.22'!$H$41</f>
        <v>9212.5872850000014</v>
      </c>
      <c r="F62" s="40">
        <f t="shared" si="1"/>
        <v>9212.5872850000014</v>
      </c>
    </row>
    <row r="63" spans="1:6" x14ac:dyDescent="0.25">
      <c r="A63" s="42" t="s">
        <v>84</v>
      </c>
      <c r="B63" s="37" t="s">
        <v>85</v>
      </c>
      <c r="C63" s="43">
        <v>40</v>
      </c>
      <c r="D63" s="37" t="s">
        <v>86</v>
      </c>
      <c r="E63" s="54">
        <f>Paltos!E63*'Al 22.06.22'!$H$41</f>
        <v>21134.132250000002</v>
      </c>
      <c r="F63" s="40">
        <f t="shared" si="1"/>
        <v>845365.29</v>
      </c>
    </row>
    <row r="64" spans="1:6" x14ac:dyDescent="0.25">
      <c r="A64" s="85" t="s">
        <v>87</v>
      </c>
      <c r="B64" s="86"/>
      <c r="C64" s="86"/>
      <c r="D64" s="86"/>
      <c r="E64" s="87"/>
      <c r="F64" s="88">
        <f>SUM(F41:F63)</f>
        <v>3279103.6909169005</v>
      </c>
    </row>
    <row r="65" spans="1:6" x14ac:dyDescent="0.25">
      <c r="A65" s="9"/>
      <c r="B65" s="3"/>
      <c r="C65" s="3"/>
      <c r="D65" s="3"/>
      <c r="E65" s="3"/>
      <c r="F65" s="9"/>
    </row>
    <row r="66" spans="1:6" x14ac:dyDescent="0.25">
      <c r="A66" s="65" t="s">
        <v>88</v>
      </c>
      <c r="B66" s="66"/>
      <c r="C66" s="67"/>
      <c r="D66" s="67"/>
      <c r="E66" s="68"/>
      <c r="F66" s="69"/>
    </row>
    <row r="67" spans="1:6" ht="24" x14ac:dyDescent="0.25">
      <c r="A67" s="89" t="s">
        <v>89</v>
      </c>
      <c r="B67" s="83" t="s">
        <v>53</v>
      </c>
      <c r="C67" s="83" t="s">
        <v>54</v>
      </c>
      <c r="D67" s="89" t="s">
        <v>24</v>
      </c>
      <c r="E67" s="83" t="s">
        <v>25</v>
      </c>
      <c r="F67" s="89" t="s">
        <v>26</v>
      </c>
    </row>
    <row r="68" spans="1:6" x14ac:dyDescent="0.25">
      <c r="A68" s="129" t="s">
        <v>90</v>
      </c>
      <c r="B68" s="37" t="s">
        <v>91</v>
      </c>
      <c r="C68" s="44">
        <v>686</v>
      </c>
      <c r="D68" s="37" t="s">
        <v>92</v>
      </c>
      <c r="E68" s="40">
        <f>Paltos!E68*'Al 22.06.22'!H41</f>
        <v>216.00149999999999</v>
      </c>
      <c r="F68" s="40">
        <f>(C68*E68)</f>
        <v>148177.02900000001</v>
      </c>
    </row>
    <row r="69" spans="1:6" x14ac:dyDescent="0.25">
      <c r="A69" s="90" t="s">
        <v>93</v>
      </c>
      <c r="B69" s="91"/>
      <c r="C69" s="91"/>
      <c r="D69" s="92"/>
      <c r="E69" s="93"/>
      <c r="F69" s="94">
        <f>SUM(F68)</f>
        <v>148177.02900000001</v>
      </c>
    </row>
    <row r="70" spans="1:6" x14ac:dyDescent="0.25">
      <c r="A70" s="9"/>
      <c r="B70" s="3"/>
      <c r="C70" s="3"/>
      <c r="D70" s="3"/>
      <c r="E70" s="3"/>
      <c r="F70" s="9"/>
    </row>
    <row r="71" spans="1:6" x14ac:dyDescent="0.25">
      <c r="A71" s="96" t="s">
        <v>94</v>
      </c>
      <c r="B71" s="97"/>
      <c r="C71" s="97"/>
      <c r="D71" s="97"/>
      <c r="E71" s="97"/>
      <c r="F71" s="98">
        <f>F69+F64+F37+F27</f>
        <v>5310980.7199169006</v>
      </c>
    </row>
    <row r="72" spans="1:6" x14ac:dyDescent="0.25">
      <c r="A72" s="99" t="s">
        <v>95</v>
      </c>
      <c r="B72" s="100"/>
      <c r="C72" s="100"/>
      <c r="D72" s="100"/>
      <c r="E72" s="100"/>
      <c r="F72" s="101">
        <f>F71*0.05</f>
        <v>265549.03599584504</v>
      </c>
    </row>
    <row r="73" spans="1:6" x14ac:dyDescent="0.25">
      <c r="A73" s="102" t="s">
        <v>96</v>
      </c>
      <c r="B73" s="103"/>
      <c r="C73" s="103"/>
      <c r="D73" s="103"/>
      <c r="E73" s="103"/>
      <c r="F73" s="104">
        <f>F72+F71</f>
        <v>5576529.7559127454</v>
      </c>
    </row>
    <row r="74" spans="1:6" x14ac:dyDescent="0.25">
      <c r="A74" s="99" t="s">
        <v>97</v>
      </c>
      <c r="B74" s="100"/>
      <c r="C74" s="100"/>
      <c r="D74" s="100"/>
      <c r="E74" s="100"/>
      <c r="F74" s="101">
        <f>F10</f>
        <v>9450000</v>
      </c>
    </row>
    <row r="75" spans="1:6" x14ac:dyDescent="0.25">
      <c r="A75" s="105" t="s">
        <v>98</v>
      </c>
      <c r="B75" s="106"/>
      <c r="C75" s="106"/>
      <c r="D75" s="106"/>
      <c r="E75" s="106"/>
      <c r="F75" s="98">
        <f>F74-F73</f>
        <v>3873470.2440872546</v>
      </c>
    </row>
    <row r="76" spans="1:6" x14ac:dyDescent="0.25">
      <c r="A76" s="21" t="s">
        <v>99</v>
      </c>
      <c r="B76" s="21"/>
      <c r="C76" s="1"/>
      <c r="D76" s="1"/>
      <c r="E76" s="1"/>
      <c r="F76" s="1"/>
    </row>
    <row r="77" spans="1:6" x14ac:dyDescent="0.25">
      <c r="A77" s="21"/>
      <c r="B77" s="21"/>
      <c r="C77" s="1"/>
      <c r="D77" s="1"/>
      <c r="E77" s="1"/>
      <c r="F77" s="1"/>
    </row>
    <row r="78" spans="1:6" x14ac:dyDescent="0.25">
      <c r="A78" s="21" t="s">
        <v>100</v>
      </c>
      <c r="B78" s="21"/>
      <c r="C78" s="1"/>
      <c r="D78" s="1"/>
      <c r="E78" s="1"/>
      <c r="F78" s="1"/>
    </row>
    <row r="79" spans="1:6" x14ac:dyDescent="0.25">
      <c r="A79" s="21" t="s">
        <v>101</v>
      </c>
      <c r="B79" s="21"/>
      <c r="C79" s="1"/>
      <c r="D79" s="1"/>
      <c r="E79" s="1"/>
      <c r="F79" s="1"/>
    </row>
    <row r="80" spans="1:6" x14ac:dyDescent="0.25">
      <c r="A80" s="21" t="s">
        <v>102</v>
      </c>
      <c r="B80" s="21"/>
      <c r="C80" s="1"/>
      <c r="D80" s="1"/>
      <c r="E80" s="1"/>
      <c r="F80" s="1"/>
    </row>
    <row r="81" spans="1:6" x14ac:dyDescent="0.25">
      <c r="A81" s="21" t="s">
        <v>103</v>
      </c>
      <c r="B81" s="21"/>
      <c r="C81" s="1"/>
      <c r="D81" s="1"/>
      <c r="E81" s="1"/>
      <c r="F81" s="1"/>
    </row>
    <row r="82" spans="1:6" x14ac:dyDescent="0.25">
      <c r="A82" s="21" t="s">
        <v>104</v>
      </c>
      <c r="B82" s="21"/>
      <c r="C82" s="1"/>
      <c r="D82" s="1"/>
      <c r="E82" s="1"/>
      <c r="F82" s="1"/>
    </row>
    <row r="83" spans="1:6" x14ac:dyDescent="0.25">
      <c r="A83" s="21" t="s">
        <v>105</v>
      </c>
      <c r="B83" s="21"/>
      <c r="C83" s="1"/>
      <c r="D83" s="1"/>
      <c r="E83" s="1"/>
      <c r="F83" s="1"/>
    </row>
    <row r="84" spans="1:6" x14ac:dyDescent="0.25">
      <c r="A84" s="21" t="s">
        <v>106</v>
      </c>
      <c r="B84" s="2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ht="15.75" thickBot="1" x14ac:dyDescent="0.3">
      <c r="A86" s="133" t="s">
        <v>116</v>
      </c>
      <c r="B86" s="134"/>
      <c r="C86" s="107"/>
      <c r="D86" s="108"/>
    </row>
    <row r="87" spans="1:6" x14ac:dyDescent="0.25">
      <c r="A87" s="109" t="s">
        <v>89</v>
      </c>
      <c r="B87" s="110" t="s">
        <v>117</v>
      </c>
      <c r="C87" s="111" t="s">
        <v>118</v>
      </c>
      <c r="D87" s="108"/>
    </row>
    <row r="88" spans="1:6" x14ac:dyDescent="0.25">
      <c r="A88" s="112" t="s">
        <v>119</v>
      </c>
      <c r="B88" s="113">
        <f>F27</f>
        <v>1813500</v>
      </c>
      <c r="C88" s="114">
        <f>(B88/B94)</f>
        <v>0.32520224572946321</v>
      </c>
      <c r="D88" s="108"/>
    </row>
    <row r="89" spans="1:6" x14ac:dyDescent="0.25">
      <c r="A89" s="112" t="s">
        <v>120</v>
      </c>
      <c r="B89" s="113">
        <f>F32</f>
        <v>0</v>
      </c>
      <c r="C89" s="114">
        <v>0</v>
      </c>
      <c r="D89" s="108"/>
    </row>
    <row r="90" spans="1:6" x14ac:dyDescent="0.25">
      <c r="A90" s="112" t="s">
        <v>121</v>
      </c>
      <c r="B90" s="113">
        <f>F37</f>
        <v>70200</v>
      </c>
      <c r="C90" s="114">
        <f>(B90/B94)</f>
        <v>1.2588474028237285E-2</v>
      </c>
      <c r="D90" s="108"/>
    </row>
    <row r="91" spans="1:6" x14ac:dyDescent="0.25">
      <c r="A91" s="112" t="s">
        <v>52</v>
      </c>
      <c r="B91" s="113">
        <f>F64</f>
        <v>3279103.6909169005</v>
      </c>
      <c r="C91" s="114">
        <f>(B91/B94)</f>
        <v>0.58801868445875249</v>
      </c>
      <c r="D91" s="108"/>
    </row>
    <row r="92" spans="1:6" x14ac:dyDescent="0.25">
      <c r="A92" s="112" t="s">
        <v>122</v>
      </c>
      <c r="B92" s="115">
        <f>F69</f>
        <v>148177.02900000001</v>
      </c>
      <c r="C92" s="114">
        <f>(B92/B94)</f>
        <v>2.6571548164499473E-2</v>
      </c>
      <c r="D92" s="116"/>
    </row>
    <row r="93" spans="1:6" x14ac:dyDescent="0.25">
      <c r="A93" s="112" t="s">
        <v>123</v>
      </c>
      <c r="B93" s="115">
        <f>F72</f>
        <v>265549.03599584504</v>
      </c>
      <c r="C93" s="114">
        <f>(B93/B94)</f>
        <v>4.7619047619047623E-2</v>
      </c>
      <c r="D93" s="116"/>
    </row>
    <row r="94" spans="1:6" ht="15.75" thickBot="1" x14ac:dyDescent="0.3">
      <c r="A94" s="117" t="s">
        <v>124</v>
      </c>
      <c r="B94" s="118">
        <f>SUM(B88:B93)</f>
        <v>5576529.7559127454</v>
      </c>
      <c r="C94" s="119">
        <f>SUM(C88:C93)</f>
        <v>1</v>
      </c>
      <c r="D94" s="116"/>
    </row>
    <row r="95" spans="1:6" x14ac:dyDescent="0.25">
      <c r="A95" s="120"/>
      <c r="B95" s="121"/>
      <c r="C95" s="121"/>
      <c r="D95" s="121"/>
    </row>
    <row r="96" spans="1:6" ht="15.75" thickBot="1" x14ac:dyDescent="0.3">
      <c r="A96" s="122"/>
      <c r="B96" s="121"/>
      <c r="C96" s="121"/>
      <c r="D96" s="121"/>
    </row>
    <row r="97" spans="1:4" ht="15.75" thickBot="1" x14ac:dyDescent="0.3">
      <c r="A97" s="135" t="s">
        <v>125</v>
      </c>
      <c r="B97" s="136"/>
      <c r="C97" s="136"/>
      <c r="D97" s="137"/>
    </row>
    <row r="98" spans="1:4" x14ac:dyDescent="0.25">
      <c r="A98" s="123" t="s">
        <v>126</v>
      </c>
      <c r="B98" s="124">
        <v>4000</v>
      </c>
      <c r="C98" s="124">
        <v>4500</v>
      </c>
      <c r="D98" s="124">
        <v>5000</v>
      </c>
    </row>
    <row r="99" spans="1:4" ht="15.75" thickBot="1" x14ac:dyDescent="0.3">
      <c r="A99" s="117" t="s">
        <v>127</v>
      </c>
      <c r="B99" s="118">
        <f>(F73/B98)</f>
        <v>1394.1324389781864</v>
      </c>
      <c r="C99" s="118">
        <f>(B94/C98)</f>
        <v>1239.2288346472767</v>
      </c>
      <c r="D99" s="125">
        <f>(F73/D98)</f>
        <v>1115.3059511825491</v>
      </c>
    </row>
    <row r="100" spans="1:4" x14ac:dyDescent="0.25">
      <c r="A100" s="126" t="s">
        <v>128</v>
      </c>
      <c r="B100" s="127"/>
      <c r="C100" s="127"/>
      <c r="D100" s="127"/>
    </row>
  </sheetData>
  <mergeCells count="10">
    <mergeCell ref="D13:E13"/>
    <mergeCell ref="A15:F15"/>
    <mergeCell ref="A86:B86"/>
    <mergeCell ref="A97:D97"/>
    <mergeCell ref="D7:E7"/>
    <mergeCell ref="D8:E8"/>
    <mergeCell ref="D9:E9"/>
    <mergeCell ref="D10:E10"/>
    <mergeCell ref="D11:E11"/>
    <mergeCell ref="D12:E1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F42726-F8CE-4DC8-B58B-B2E8893ED1CD}">
  <ds:schemaRefs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1030f0af-99cb-42f1-88fc-acec73331192"/>
    <ds:schemaRef ds:uri="c5dbce2d-49dc-4afe-a5b0-d7fb7a901161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6EDDC41-FB6F-494B-889D-2B2D29EC0C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66E571-7209-4C18-BD21-4E61C34FD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Paltos</vt:lpstr>
      <vt:lpstr>Hoja2</vt:lpstr>
      <vt:lpstr>Al 22.06.22</vt:lpstr>
      <vt:lpstr>Paltos!Área_de_impresión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Usuario-pc</dc:creator>
  <cp:lastModifiedBy>Juan Carlos Campos Olivares</cp:lastModifiedBy>
  <cp:lastPrinted>2019-03-20T19:20:40Z</cp:lastPrinted>
  <dcterms:created xsi:type="dcterms:W3CDTF">2018-02-06T15:13:35Z</dcterms:created>
  <dcterms:modified xsi:type="dcterms:W3CDTF">2022-07-22T13:52:59Z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