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Ligua/"/>
    </mc:Choice>
  </mc:AlternateContent>
  <xr:revisionPtr revIDLastSave="3" documentId="11_3ECD205E15A636702ECBA82EFAE7F4507933327F" xr6:coauthVersionLast="47" xr6:coauthVersionMax="47" xr10:uidLastSave="{78DA1EF4-1FA3-4959-915C-181DE73D4ACE}"/>
  <bookViews>
    <workbookView xWindow="-120" yWindow="-120" windowWidth="20730" windowHeight="11040" activeTab="1" xr2:uid="{00000000-000D-0000-FFFF-FFFF00000000}"/>
  </bookViews>
  <sheets>
    <sheet name="Paltos" sheetId="1" r:id="rId1"/>
    <sheet name="Al 22.06.22" sheetId="2" r:id="rId2"/>
    <sheet name="Hoja3" sheetId="3" r:id="rId3"/>
  </sheets>
  <definedNames>
    <definedName name="_xlnm.Print_Area" localSheetId="0">Paltos!$A$8:$F$85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1" i="2" l="1"/>
  <c r="B101" i="2"/>
  <c r="C101" i="2"/>
  <c r="E43" i="2"/>
  <c r="E45" i="2"/>
  <c r="F45" i="2" s="1"/>
  <c r="E49" i="2"/>
  <c r="E53" i="2"/>
  <c r="E57" i="2"/>
  <c r="E61" i="2"/>
  <c r="B91" i="2"/>
  <c r="F38" i="2"/>
  <c r="B92" i="2" s="1"/>
  <c r="F37" i="2"/>
  <c r="F27" i="2"/>
  <c r="F26" i="2"/>
  <c r="F25" i="2"/>
  <c r="F24" i="2"/>
  <c r="F23" i="2"/>
  <c r="F22" i="2"/>
  <c r="F21" i="2"/>
  <c r="F20" i="2"/>
  <c r="F11" i="2"/>
  <c r="F75" i="2" s="1"/>
  <c r="F28" i="2" l="1"/>
  <c r="B90" i="2" s="1"/>
  <c r="B91" i="1"/>
  <c r="E69" i="1"/>
  <c r="F69" i="1" l="1"/>
  <c r="F70" i="1" s="1"/>
  <c r="B94" i="1" s="1"/>
  <c r="E69" i="2"/>
  <c r="F69" i="2" s="1"/>
  <c r="F70" i="2" s="1"/>
  <c r="B94" i="2" s="1"/>
  <c r="E64" i="1" l="1"/>
  <c r="E64" i="2" s="1"/>
  <c r="F64" i="2" s="1"/>
  <c r="E63" i="1"/>
  <c r="E63" i="2" s="1"/>
  <c r="E62" i="1"/>
  <c r="E62" i="2" s="1"/>
  <c r="F62" i="2" s="1"/>
  <c r="E60" i="1"/>
  <c r="E60" i="2" s="1"/>
  <c r="F60" i="2" s="1"/>
  <c r="E59" i="1"/>
  <c r="E59" i="2" s="1"/>
  <c r="E58" i="1"/>
  <c r="E58" i="2" s="1"/>
  <c r="F58" i="2" s="1"/>
  <c r="E56" i="1"/>
  <c r="E56" i="2" s="1"/>
  <c r="F56" i="2" s="1"/>
  <c r="E55" i="1"/>
  <c r="E55" i="2" s="1"/>
  <c r="F55" i="2" s="1"/>
  <c r="E54" i="1"/>
  <c r="E54" i="2" s="1"/>
  <c r="F54" i="2" s="1"/>
  <c r="E52" i="1"/>
  <c r="E52" i="2" s="1"/>
  <c r="F52" i="2" s="1"/>
  <c r="E51" i="1"/>
  <c r="E51" i="2" s="1"/>
  <c r="F51" i="2" s="1"/>
  <c r="E50" i="1"/>
  <c r="E50" i="2" s="1"/>
  <c r="F50" i="2" s="1"/>
  <c r="E48" i="1"/>
  <c r="E48" i="2" s="1"/>
  <c r="F48" i="2" s="1"/>
  <c r="E47" i="1"/>
  <c r="E47" i="2" s="1"/>
  <c r="F47" i="2" s="1"/>
  <c r="E46" i="1"/>
  <c r="E46" i="2" s="1"/>
  <c r="F46" i="2" s="1"/>
  <c r="E44" i="1"/>
  <c r="E44" i="2" s="1"/>
  <c r="F44" i="2" s="1"/>
  <c r="E42" i="1"/>
  <c r="E21" i="1"/>
  <c r="E22" i="1"/>
  <c r="E23" i="1"/>
  <c r="E24" i="1"/>
  <c r="E25" i="1"/>
  <c r="E26" i="1"/>
  <c r="E27" i="1"/>
  <c r="E20" i="1"/>
  <c r="F42" i="1" l="1"/>
  <c r="E42" i="2"/>
  <c r="F42" i="2" s="1"/>
  <c r="F65" i="2" s="1"/>
  <c r="F11" i="1"/>
  <c r="F75" i="1" s="1"/>
  <c r="B93" i="2" l="1"/>
  <c r="F72" i="2"/>
  <c r="F73" i="2" s="1"/>
  <c r="D101" i="1"/>
  <c r="B101" i="1"/>
  <c r="C101" i="1"/>
  <c r="F37" i="1"/>
  <c r="F38" i="1" s="1"/>
  <c r="F21" i="1"/>
  <c r="F22" i="1"/>
  <c r="F23" i="1"/>
  <c r="F24" i="1"/>
  <c r="F25" i="1"/>
  <c r="F26" i="1"/>
  <c r="F27" i="1"/>
  <c r="F20" i="1"/>
  <c r="F44" i="1"/>
  <c r="F65" i="1" s="1"/>
  <c r="B93" i="1" s="1"/>
  <c r="F45" i="1"/>
  <c r="F46" i="1"/>
  <c r="F47" i="1"/>
  <c r="F48" i="1"/>
  <c r="F50" i="1"/>
  <c r="F51" i="1"/>
  <c r="F52" i="1"/>
  <c r="F54" i="1"/>
  <c r="F55" i="1"/>
  <c r="F56" i="1"/>
  <c r="F58" i="1"/>
  <c r="F60" i="1"/>
  <c r="F62" i="1"/>
  <c r="F64" i="1"/>
  <c r="F28" i="1" l="1"/>
  <c r="B90" i="1" s="1"/>
  <c r="F74" i="2"/>
  <c r="F76" i="2" s="1"/>
  <c r="B95" i="2"/>
  <c r="B96" i="2"/>
  <c r="B92" i="1"/>
  <c r="F72" i="1"/>
  <c r="F73" i="1" s="1"/>
  <c r="C95" i="2" l="1"/>
  <c r="C90" i="2"/>
  <c r="C94" i="2"/>
  <c r="C93" i="2"/>
  <c r="C92" i="2"/>
  <c r="F74" i="1"/>
  <c r="F76" i="1" s="1"/>
  <c r="B95" i="1"/>
  <c r="B96" i="1" s="1"/>
  <c r="C96" i="2" l="1"/>
  <c r="C94" i="1"/>
  <c r="C90" i="1"/>
  <c r="C93" i="1"/>
  <c r="C95" i="1"/>
  <c r="C92" i="1"/>
  <c r="C96" i="1" l="1"/>
</calcChain>
</file>

<file path=xl/sharedStrings.xml><?xml version="1.0" encoding="utf-8"?>
<sst xmlns="http://schemas.openxmlformats.org/spreadsheetml/2006/main" count="372" uniqueCount="133">
  <si>
    <t>RUBRO O CULTIVO</t>
  </si>
  <si>
    <t>PALTO</t>
  </si>
  <si>
    <t>RENDIMIENTO (kg/ha)</t>
  </si>
  <si>
    <t>VARIEDAD</t>
  </si>
  <si>
    <t>HASS</t>
  </si>
  <si>
    <t>FECHA ESTIMADA  PRECIO VENTA</t>
  </si>
  <si>
    <t>NIVEL TECNOLÓGICO</t>
  </si>
  <si>
    <t>MEDIO</t>
  </si>
  <si>
    <t>PRECIO ESPERADO ($/kg)</t>
  </si>
  <si>
    <t>REGIÓN</t>
  </si>
  <si>
    <t>VALPARAISO</t>
  </si>
  <si>
    <t>INGRESO ESPERADO, CON IVA ($)</t>
  </si>
  <si>
    <t>ÁREA</t>
  </si>
  <si>
    <t>DESTINO PRODUCCIÓN</t>
  </si>
  <si>
    <t>MERCADO INTERNO REGIONAL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</si>
  <si>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</si>
  <si>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</si>
  <si>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</si>
  <si>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</si>
  <si>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</si>
  <si>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</si>
  <si>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</si>
  <si>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</si>
  <si>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</si>
  <si>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</si>
  <si>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</si>
  <si>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</si>
  <si>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</si>
  <si>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</si>
  <si>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</si>
  <si>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Colocación de puntales</t>
  </si>
  <si>
    <t>Abril-nov</t>
  </si>
  <si>
    <t>Mantención sistema riego</t>
  </si>
  <si>
    <t>May-Dic</t>
  </si>
  <si>
    <t>Riegos</t>
  </si>
  <si>
    <t>Agosto-Mayo</t>
  </si>
  <si>
    <t>Fertilización quimica</t>
  </si>
  <si>
    <t>Control de malezas</t>
  </si>
  <si>
    <t>Agosto-Dic -Abril</t>
  </si>
  <si>
    <t>Control de plagas</t>
  </si>
  <si>
    <t>Diciembre- Abril</t>
  </si>
  <si>
    <t>Cosecha</t>
  </si>
  <si>
    <t>Septiembre - Abril</t>
  </si>
  <si>
    <t>Subtotal Jornadas Hombre</t>
  </si>
  <si>
    <t>JORNADAS ANIMAL</t>
  </si>
  <si>
    <t>Subtotal Jornadas Animal</t>
  </si>
  <si>
    <t>MAQUINARIA</t>
  </si>
  <si>
    <t>JM</t>
  </si>
  <si>
    <t>Aplicación foliares - pesticidas</t>
  </si>
  <si>
    <t>Sept-Dic-Abril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</si>
  <si>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</si>
  <si>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</si>
  <si>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</si>
  <si>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</si>
  <si>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</si>
  <si>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</si>
  <si>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kg.</t>
  </si>
  <si>
    <t>Lt.</t>
  </si>
  <si>
    <t>FOLIARES</t>
  </si>
  <si>
    <t>HERBICIDAS</t>
  </si>
  <si>
    <t>Ago-Dic -Abr</t>
  </si>
  <si>
    <t>INSECTICIDAS</t>
  </si>
  <si>
    <t>ene-abr</t>
  </si>
  <si>
    <t>ADHERENTES</t>
  </si>
  <si>
    <t xml:space="preserve">     Breax</t>
  </si>
  <si>
    <t xml:space="preserve">     Li-700</t>
  </si>
  <si>
    <t>COMPOST</t>
  </si>
  <si>
    <t>m3</t>
  </si>
  <si>
    <t>Mayo</t>
  </si>
  <si>
    <t>Subtotal Insumos</t>
  </si>
  <si>
    <t>OTROS</t>
  </si>
  <si>
    <t>Item</t>
  </si>
  <si>
    <t>Energía  palto</t>
  </si>
  <si>
    <t>Kw/hr.</t>
  </si>
  <si>
    <t>Anual</t>
  </si>
  <si>
    <t>Subtotal Otros</t>
  </si>
  <si>
    <t>TOTAL COSTOS DIRECTOS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</si>
  <si>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</si>
  <si>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</si>
  <si>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</si>
  <si>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</si>
  <si>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</si>
  <si>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</si>
  <si>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</si>
  <si>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</si>
  <si>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</si>
  <si>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</si>
  <si>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</si>
  <si>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La Ligua</t>
  </si>
  <si>
    <t>Primavera-Verano-Otoño</t>
  </si>
  <si>
    <t>100 dias despues de cuaja</t>
  </si>
  <si>
    <t>fluch de Crecimiento  Vegetativo Primavera  y Verano</t>
  </si>
  <si>
    <t xml:space="preserve">Floracion </t>
  </si>
  <si>
    <t xml:space="preserve">Acido Borico </t>
  </si>
  <si>
    <t xml:space="preserve">Zitrilon 7 ® </t>
  </si>
  <si>
    <t>Entec 21 %</t>
  </si>
  <si>
    <t>Sulfato de K  44%</t>
  </si>
  <si>
    <t>Nitrato de Magnesio  15%</t>
  </si>
  <si>
    <t xml:space="preserve">Segundo Fluch  de crecimiento Vegetativo </t>
  </si>
  <si>
    <t>Cultar</t>
  </si>
  <si>
    <t xml:space="preserve">Cuaja </t>
  </si>
  <si>
    <t xml:space="preserve">Stimplex ® </t>
  </si>
  <si>
    <t xml:space="preserve">Crecimiento de Fruto </t>
  </si>
  <si>
    <t xml:space="preserve">Basfoliar Ecklonia ® </t>
  </si>
  <si>
    <t>Rango 480 ®</t>
  </si>
  <si>
    <t>Aliado  WG</t>
  </si>
  <si>
    <t>Gr</t>
  </si>
  <si>
    <t xml:space="preserve">MCPA ® </t>
  </si>
  <si>
    <t>Troya  4EC</t>
  </si>
  <si>
    <t>Vertimec</t>
  </si>
  <si>
    <t>Actara 25 WG</t>
  </si>
  <si>
    <t>Ene-Feb</t>
  </si>
  <si>
    <t>Dic-Ene</t>
  </si>
  <si>
    <t>El Carmen, La Higuera, Los Molinos, Paihuen y Bartolillo (Cabildo)</t>
  </si>
  <si>
    <t>Grave Sequía</t>
  </si>
  <si>
    <t>Compra de agua</t>
  </si>
  <si>
    <t>m³</t>
  </si>
  <si>
    <t>Diciembre-Mayo</t>
  </si>
  <si>
    <t xml:space="preserve"> </t>
  </si>
  <si>
    <t>Más Imprevistos (5%)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</si>
  <si>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</si>
  <si>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</si>
  <si>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</si>
  <si>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</si>
  <si>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</si>
  <si>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</si>
  <si>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</si>
  <si>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</si>
  <si>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</si>
  <si>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</si>
  <si>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($/kg)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</si>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</sst>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3" fontId="3" fillId="0" borderId="26" xfId="0" applyNumberFormat="1" applyFont="1" applyBorder="1" applyAlignment="1">
      <alignment horizontal="right" vertical="center"/>
    </xf>
    <xf numFmtId="17" fontId="1" fillId="2" borderId="27" xfId="0" applyNumberFormat="1" applyFont="1" applyFill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7" xfId="0" applyNumberFormat="1" applyFont="1" applyBorder="1" applyAlignment="1">
      <alignment horizontal="center" vertical="center"/>
    </xf>
    <xf numFmtId="0" fontId="0" fillId="2" borderId="0" xfId="0" applyFill="1"/>
    <xf numFmtId="3" fontId="5" fillId="0" borderId="27" xfId="0" applyNumberFormat="1" applyFont="1" applyBorder="1" applyAlignment="1">
      <alignment horizontal="right" vertical="center"/>
    </xf>
    <xf numFmtId="49" fontId="6" fillId="3" borderId="48" xfId="0" applyNumberFormat="1" applyFont="1" applyFill="1" applyBorder="1" applyAlignment="1">
      <alignment vertical="center" wrapText="1"/>
    </xf>
    <xf numFmtId="49" fontId="6" fillId="5" borderId="50" xfId="0" applyNumberFormat="1" applyFont="1" applyFill="1" applyBorder="1" applyAlignment="1">
      <alignment vertical="center"/>
    </xf>
    <xf numFmtId="0" fontId="9" fillId="6" borderId="51" xfId="0" applyFont="1" applyFill="1" applyBorder="1" applyAlignment="1">
      <alignment vertical="center"/>
    </xf>
    <xf numFmtId="0" fontId="9" fillId="6" borderId="52" xfId="0" applyFont="1" applyFill="1" applyBorder="1" applyAlignment="1">
      <alignment vertical="center"/>
    </xf>
    <xf numFmtId="0" fontId="9" fillId="6" borderId="52" xfId="0" applyFont="1" applyFill="1" applyBorder="1" applyAlignment="1">
      <alignment horizontal="right" vertical="center"/>
    </xf>
    <xf numFmtId="49" fontId="6" fillId="3" borderId="49" xfId="0" applyNumberFormat="1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vertical="center"/>
    </xf>
    <xf numFmtId="49" fontId="6" fillId="5" borderId="47" xfId="0" applyNumberFormat="1" applyFont="1" applyFill="1" applyBorder="1" applyAlignment="1">
      <alignment vertical="center"/>
    </xf>
    <xf numFmtId="0" fontId="9" fillId="6" borderId="53" xfId="0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vertical="center"/>
    </xf>
    <xf numFmtId="0" fontId="9" fillId="6" borderId="54" xfId="0" applyFont="1" applyFill="1" applyBorder="1" applyAlignment="1">
      <alignment horizontal="right" vertical="center"/>
    </xf>
    <xf numFmtId="49" fontId="6" fillId="3" borderId="47" xfId="0" applyNumberFormat="1" applyFont="1" applyFill="1" applyBorder="1" applyAlignment="1">
      <alignment horizontal="center" vertical="center"/>
    </xf>
    <xf numFmtId="49" fontId="6" fillId="3" borderId="47" xfId="0" applyNumberFormat="1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vertical="center"/>
    </xf>
    <xf numFmtId="0" fontId="9" fillId="6" borderId="47" xfId="0" applyFont="1" applyFill="1" applyBorder="1" applyAlignment="1">
      <alignment horizontal="center" vertical="center"/>
    </xf>
    <xf numFmtId="3" fontId="9" fillId="6" borderId="47" xfId="0" applyNumberFormat="1" applyFont="1" applyFill="1" applyBorder="1" applyAlignment="1">
      <alignment vertical="center"/>
    </xf>
    <xf numFmtId="3" fontId="9" fillId="6" borderId="47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horizontal="center" vertical="center"/>
    </xf>
    <xf numFmtId="49" fontId="6" fillId="3" borderId="50" xfId="0" applyNumberFormat="1" applyFont="1" applyFill="1" applyBorder="1" applyAlignment="1">
      <alignment horizontal="center" vertical="center"/>
    </xf>
    <xf numFmtId="49" fontId="6" fillId="3" borderId="50" xfId="0" applyNumberFormat="1" applyFont="1" applyFill="1" applyBorder="1" applyAlignment="1">
      <alignment horizontal="center" vertical="center" wrapText="1"/>
    </xf>
    <xf numFmtId="49" fontId="10" fillId="3" borderId="47" xfId="0" applyNumberFormat="1" applyFont="1" applyFill="1" applyBorder="1" applyAlignment="1">
      <alignment vertical="center"/>
    </xf>
    <xf numFmtId="0" fontId="10" fillId="3" borderId="47" xfId="0" applyFont="1" applyFill="1" applyBorder="1" applyAlignment="1">
      <alignment horizontal="center" vertical="center"/>
    </xf>
    <xf numFmtId="3" fontId="10" fillId="3" borderId="47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 wrapText="1"/>
    </xf>
    <xf numFmtId="49" fontId="6" fillId="3" borderId="55" xfId="0" applyNumberFormat="1" applyFont="1" applyFill="1" applyBorder="1" applyAlignment="1">
      <alignment horizontal="right" vertical="center" wrapText="1"/>
    </xf>
    <xf numFmtId="49" fontId="11" fillId="3" borderId="29" xfId="0" applyNumberFormat="1" applyFont="1" applyFill="1" applyBorder="1" applyAlignment="1">
      <alignment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vertical="center"/>
    </xf>
    <xf numFmtId="3" fontId="11" fillId="3" borderId="29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/>
    </xf>
    <xf numFmtId="49" fontId="11" fillId="3" borderId="56" xfId="0" applyNumberFormat="1" applyFont="1" applyFill="1" applyBorder="1" applyAlignment="1">
      <alignment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right" vertical="center"/>
    </xf>
    <xf numFmtId="0" fontId="11" fillId="3" borderId="56" xfId="0" applyFont="1" applyFill="1" applyBorder="1" applyAlignment="1">
      <alignment vertical="center"/>
    </xf>
    <xf numFmtId="3" fontId="11" fillId="3" borderId="56" xfId="0" applyNumberFormat="1" applyFont="1" applyFill="1" applyBorder="1" applyAlignment="1">
      <alignment horizontal="center" vertical="center"/>
    </xf>
    <xf numFmtId="0" fontId="9" fillId="6" borderId="57" xfId="0" applyFont="1" applyFill="1" applyBorder="1" applyAlignment="1"/>
    <xf numFmtId="3" fontId="9" fillId="6" borderId="57" xfId="0" applyNumberFormat="1" applyFont="1" applyFill="1" applyBorder="1" applyAlignment="1"/>
    <xf numFmtId="3" fontId="9" fillId="6" borderId="57" xfId="0" applyNumberFormat="1" applyFont="1" applyFill="1" applyBorder="1" applyAlignment="1">
      <alignment horizontal="right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6" fontId="6" fillId="5" borderId="60" xfId="0" applyNumberFormat="1" applyFont="1" applyFill="1" applyBorder="1" applyAlignment="1">
      <alignment vertical="center"/>
    </xf>
    <xf numFmtId="49" fontId="6" fillId="3" borderId="61" xfId="0" applyNumberFormat="1" applyFont="1" applyFill="1" applyBorder="1" applyAlignment="1">
      <alignment vertical="center"/>
    </xf>
    <xf numFmtId="0" fontId="6" fillId="3" borderId="47" xfId="0" applyFont="1" applyFill="1" applyBorder="1" applyAlignment="1">
      <alignment vertical="center"/>
    </xf>
    <xf numFmtId="166" fontId="6" fillId="3" borderId="62" xfId="0" applyNumberFormat="1" applyFont="1" applyFill="1" applyBorder="1" applyAlignment="1">
      <alignment vertical="center"/>
    </xf>
    <xf numFmtId="49" fontId="6" fillId="5" borderId="61" xfId="0" applyNumberFormat="1" applyFont="1" applyFill="1" applyBorder="1" applyAlignment="1">
      <alignment vertical="center"/>
    </xf>
    <xf numFmtId="0" fontId="6" fillId="5" borderId="47" xfId="0" applyFont="1" applyFill="1" applyBorder="1" applyAlignment="1">
      <alignment vertical="center"/>
    </xf>
    <xf numFmtId="166" fontId="6" fillId="5" borderId="62" xfId="0" applyNumberFormat="1" applyFont="1" applyFill="1" applyBorder="1" applyAlignment="1">
      <alignment vertical="center"/>
    </xf>
    <xf numFmtId="49" fontId="6" fillId="5" borderId="63" xfId="0" applyNumberFormat="1" applyFont="1" applyFill="1" applyBorder="1" applyAlignment="1">
      <alignment vertical="center"/>
    </xf>
    <xf numFmtId="0" fontId="12" fillId="5" borderId="64" xfId="0" applyFont="1" applyFill="1" applyBorder="1" applyAlignment="1">
      <alignment vertical="center"/>
    </xf>
    <xf numFmtId="0" fontId="15" fillId="7" borderId="67" xfId="0" applyFont="1" applyFill="1" applyBorder="1" applyAlignment="1"/>
    <xf numFmtId="0" fontId="15" fillId="8" borderId="0" xfId="0" applyFont="1" applyFill="1" applyBorder="1" applyAlignment="1"/>
    <xf numFmtId="49" fontId="14" fillId="9" borderId="68" xfId="0" applyNumberFormat="1" applyFont="1" applyFill="1" applyBorder="1" applyAlignment="1">
      <alignment vertical="center"/>
    </xf>
    <xf numFmtId="49" fontId="14" fillId="9" borderId="69" xfId="0" applyNumberFormat="1" applyFont="1" applyFill="1" applyBorder="1" applyAlignment="1">
      <alignment horizontal="center" vertical="center"/>
    </xf>
    <xf numFmtId="49" fontId="15" fillId="9" borderId="70" xfId="0" applyNumberFormat="1" applyFont="1" applyFill="1" applyBorder="1" applyAlignment="1">
      <alignment horizontal="center"/>
    </xf>
    <xf numFmtId="49" fontId="14" fillId="6" borderId="71" xfId="0" applyNumberFormat="1" applyFont="1" applyFill="1" applyBorder="1" applyAlignment="1">
      <alignment vertical="center"/>
    </xf>
    <xf numFmtId="3" fontId="14" fillId="6" borderId="49" xfId="0" applyNumberFormat="1" applyFont="1" applyFill="1" applyBorder="1" applyAlignment="1">
      <alignment vertical="center"/>
    </xf>
    <xf numFmtId="9" fontId="15" fillId="6" borderId="72" xfId="0" applyNumberFormat="1" applyFont="1" applyFill="1" applyBorder="1" applyAlignment="1"/>
    <xf numFmtId="167" fontId="14" fillId="6" borderId="49" xfId="0" applyNumberFormat="1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49" fontId="14" fillId="9" borderId="73" xfId="0" applyNumberFormat="1" applyFont="1" applyFill="1" applyBorder="1" applyAlignment="1">
      <alignment vertical="center"/>
    </xf>
    <xf numFmtId="167" fontId="14" fillId="9" borderId="74" xfId="0" applyNumberFormat="1" applyFont="1" applyFill="1" applyBorder="1" applyAlignment="1">
      <alignment vertical="center"/>
    </xf>
    <xf numFmtId="9" fontId="14" fillId="9" borderId="75" xfId="0" applyNumberFormat="1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49" fontId="14" fillId="9" borderId="76" xfId="0" applyNumberFormat="1" applyFont="1" applyFill="1" applyBorder="1" applyAlignment="1">
      <alignment vertical="center"/>
    </xf>
    <xf numFmtId="3" fontId="14" fillId="9" borderId="77" xfId="0" applyNumberFormat="1" applyFont="1" applyFill="1" applyBorder="1" applyAlignment="1">
      <alignment vertical="center"/>
    </xf>
    <xf numFmtId="167" fontId="14" fillId="9" borderId="75" xfId="0" applyNumberFormat="1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15" fillId="6" borderId="0" xfId="0" applyFont="1" applyFill="1" applyBorder="1" applyAlignment="1"/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49" fontId="11" fillId="3" borderId="49" xfId="0" applyNumberFormat="1" applyFont="1" applyFill="1" applyBorder="1" applyAlignment="1">
      <alignment vertical="center"/>
    </xf>
    <xf numFmtId="3" fontId="11" fillId="3" borderId="49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1" fontId="20" fillId="0" borderId="34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3" fontId="20" fillId="0" borderId="35" xfId="0" applyNumberFormat="1" applyFont="1" applyBorder="1" applyAlignment="1">
      <alignment vertical="center"/>
    </xf>
    <xf numFmtId="3" fontId="20" fillId="0" borderId="42" xfId="0" applyNumberFormat="1" applyFont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18" fillId="0" borderId="44" xfId="0" applyFont="1" applyBorder="1"/>
    <xf numFmtId="0" fontId="18" fillId="0" borderId="29" xfId="0" applyFont="1" applyBorder="1"/>
    <xf numFmtId="0" fontId="18" fillId="0" borderId="45" xfId="0" applyFont="1" applyBorder="1"/>
    <xf numFmtId="0" fontId="18" fillId="0" borderId="42" xfId="0" applyFont="1" applyBorder="1"/>
    <xf numFmtId="0" fontId="18" fillId="0" borderId="31" xfId="0" applyFont="1" applyFill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 wrapText="1"/>
    </xf>
    <xf numFmtId="3" fontId="18" fillId="0" borderId="45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0" fontId="18" fillId="2" borderId="29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3" fontId="18" fillId="0" borderId="3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vertical="center"/>
    </xf>
    <xf numFmtId="164" fontId="19" fillId="0" borderId="21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164" fontId="19" fillId="0" borderId="39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3" fontId="18" fillId="0" borderId="40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3" fontId="22" fillId="0" borderId="19" xfId="0" applyNumberFormat="1" applyFont="1" applyBorder="1" applyAlignment="1">
      <alignment vertical="center"/>
    </xf>
    <xf numFmtId="0" fontId="11" fillId="3" borderId="34" xfId="0" applyFont="1" applyFill="1" applyBorder="1" applyAlignment="1">
      <alignment vertical="center"/>
    </xf>
    <xf numFmtId="3" fontId="20" fillId="0" borderId="34" xfId="0" applyNumberFormat="1" applyFont="1" applyBorder="1" applyAlignment="1">
      <alignment vertical="center"/>
    </xf>
    <xf numFmtId="3" fontId="20" fillId="0" borderId="29" xfId="0" applyNumberFormat="1" applyFont="1" applyBorder="1" applyAlignment="1">
      <alignment vertical="center"/>
    </xf>
    <xf numFmtId="3" fontId="20" fillId="0" borderId="78" xfId="0" applyNumberFormat="1" applyFont="1" applyBorder="1" applyAlignment="1">
      <alignment vertical="center"/>
    </xf>
    <xf numFmtId="49" fontId="7" fillId="3" borderId="49" xfId="0" applyNumberFormat="1" applyFont="1" applyFill="1" applyBorder="1" applyAlignment="1">
      <alignment wrapText="1"/>
    </xf>
    <xf numFmtId="0" fontId="7" fillId="4" borderId="49" xfId="0" applyFont="1" applyFill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9" fontId="13" fillId="7" borderId="65" xfId="0" applyNumberFormat="1" applyFont="1" applyFill="1" applyBorder="1" applyAlignment="1">
      <alignment vertical="center"/>
    </xf>
    <xf numFmtId="0" fontId="14" fillId="7" borderId="66" xfId="0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1" xfId="0" applyNumberFormat="1" applyFont="1" applyFill="1" applyBorder="1" applyAlignment="1">
      <alignment horizontal="center" vertical="center"/>
    </xf>
    <xf numFmtId="49" fontId="13" fillId="7" borderId="1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8" fillId="3" borderId="49" xfId="0" applyNumberFormat="1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1378643</xdr:colOff>
      <xdr:row>6</xdr:row>
      <xdr:rowOff>94429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30480</xdr:colOff>
      <xdr:row>6</xdr:row>
      <xdr:rowOff>94429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9480" cy="1191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102"/>
  <sheetViews>
    <sheetView topLeftCell="A59" zoomScale="110" zoomScaleNormal="110" workbookViewId="0">
      <selection activeCell="I53" sqref="I53"/>
    </sheetView>
  </sheetViews>
  <sheetFormatPr baseColWidth="10" defaultRowHeight="15" x14ac:dyDescent="0.25"/>
  <cols>
    <col min="1" max="1" width="28.140625" customWidth="1"/>
    <col min="2" max="2" width="18.140625" customWidth="1"/>
    <col min="3" max="3" width="12.28515625" customWidth="1"/>
    <col min="4" max="4" width="15.42578125" customWidth="1"/>
    <col min="5" max="5" width="10.28515625" customWidth="1"/>
    <col min="6" max="6" width="21.28515625" customWidth="1"/>
  </cols>
  <sheetData>
    <row r="7" spans="1:6" ht="15.75" thickBot="1" x14ac:dyDescent="0.3">
      <c r="A7" s="1"/>
      <c r="B7" s="1"/>
      <c r="C7" s="1"/>
      <c r="D7" s="2"/>
      <c r="E7" s="1"/>
      <c r="F7" s="1"/>
    </row>
    <row r="8" spans="1:6" ht="15" customHeight="1" x14ac:dyDescent="0.25">
      <c r="A8" s="36" t="s">
        <v>0</v>
      </c>
      <c r="B8" s="29" t="s">
        <v>1</v>
      </c>
      <c r="C8" s="3"/>
      <c r="D8" s="183" t="s">
        <v>2</v>
      </c>
      <c r="E8" s="184"/>
      <c r="F8" s="22">
        <v>7500</v>
      </c>
    </row>
    <row r="9" spans="1:6" ht="15" customHeight="1" x14ac:dyDescent="0.25">
      <c r="A9" s="4" t="s">
        <v>3</v>
      </c>
      <c r="B9" s="30" t="s">
        <v>4</v>
      </c>
      <c r="C9" s="3"/>
      <c r="D9" s="185" t="s">
        <v>5</v>
      </c>
      <c r="E9" s="186"/>
      <c r="F9" s="23" t="s">
        <v>112</v>
      </c>
    </row>
    <row r="10" spans="1:6" ht="15" customHeight="1" x14ac:dyDescent="0.25">
      <c r="A10" s="4" t="s">
        <v>6</v>
      </c>
      <c r="B10" s="31" t="s">
        <v>7</v>
      </c>
      <c r="C10" s="3"/>
      <c r="D10" s="185" t="s">
        <v>8</v>
      </c>
      <c r="E10" s="186"/>
      <c r="F10" s="24">
        <v>2200</v>
      </c>
    </row>
    <row r="11" spans="1:6" ht="15" customHeight="1" x14ac:dyDescent="0.25">
      <c r="A11" s="4" t="s">
        <v>9</v>
      </c>
      <c r="B11" s="32" t="s">
        <v>10</v>
      </c>
      <c r="C11" s="3"/>
      <c r="D11" s="185" t="s">
        <v>11</v>
      </c>
      <c r="E11" s="186"/>
      <c r="F11" s="35">
        <f>(F10*F8)</f>
        <v>16500000</v>
      </c>
    </row>
    <row r="12" spans="1:6" ht="27.6" customHeight="1" x14ac:dyDescent="0.25">
      <c r="A12" s="4" t="s">
        <v>12</v>
      </c>
      <c r="B12" s="32" t="s">
        <v>88</v>
      </c>
      <c r="C12" s="3"/>
      <c r="D12" s="185" t="s">
        <v>13</v>
      </c>
      <c r="E12" s="186"/>
      <c r="F12" s="25" t="s">
        <v>14</v>
      </c>
    </row>
    <row r="13" spans="1:6" ht="27" x14ac:dyDescent="0.25">
      <c r="A13" s="4" t="s">
        <v>15</v>
      </c>
      <c r="B13" s="31" t="s">
        <v>113</v>
      </c>
      <c r="C13" s="3"/>
      <c r="D13" s="185" t="s">
        <v>16</v>
      </c>
      <c r="E13" s="186"/>
      <c r="F13" s="26" t="s">
        <v>112</v>
      </c>
    </row>
    <row r="14" spans="1:6" ht="15.75" thickBot="1" x14ac:dyDescent="0.3">
      <c r="A14" s="5" t="s">
        <v>17</v>
      </c>
      <c r="B14" s="33">
        <v>44602</v>
      </c>
      <c r="C14" s="3"/>
      <c r="D14" s="192" t="s">
        <v>18</v>
      </c>
      <c r="E14" s="193"/>
      <c r="F14" s="27" t="s">
        <v>114</v>
      </c>
    </row>
    <row r="15" spans="1:6" x14ac:dyDescent="0.25">
      <c r="A15" s="6"/>
      <c r="B15" s="7"/>
      <c r="C15" s="3"/>
      <c r="D15" s="3"/>
      <c r="E15" s="3"/>
      <c r="F15" s="8"/>
    </row>
    <row r="16" spans="1:6" x14ac:dyDescent="0.25">
      <c r="A16" s="194" t="s">
        <v>19</v>
      </c>
      <c r="B16" s="195"/>
      <c r="C16" s="195"/>
      <c r="D16" s="195"/>
      <c r="E16" s="195"/>
      <c r="F16" s="195"/>
    </row>
    <row r="17" spans="1:6" x14ac:dyDescent="0.25">
      <c r="A17" s="1"/>
      <c r="B17" s="9"/>
      <c r="C17" s="9"/>
      <c r="D17" s="10"/>
      <c r="E17" s="11"/>
      <c r="F17" s="12"/>
    </row>
    <row r="18" spans="1:6" x14ac:dyDescent="0.25">
      <c r="A18" s="37" t="s">
        <v>20</v>
      </c>
      <c r="B18" s="38"/>
      <c r="C18" s="39"/>
      <c r="D18" s="39"/>
      <c r="E18" s="39"/>
      <c r="F18" s="40"/>
    </row>
    <row r="19" spans="1:6" ht="24" x14ac:dyDescent="0.25">
      <c r="A19" s="41" t="s">
        <v>21</v>
      </c>
      <c r="B19" s="41" t="s">
        <v>22</v>
      </c>
      <c r="C19" s="41" t="s">
        <v>23</v>
      </c>
      <c r="D19" s="41" t="s">
        <v>24</v>
      </c>
      <c r="E19" s="41" t="s">
        <v>25</v>
      </c>
      <c r="F19" s="41" t="s">
        <v>26</v>
      </c>
    </row>
    <row r="20" spans="1:6" ht="25.5" x14ac:dyDescent="0.25">
      <c r="A20" s="111" t="s">
        <v>27</v>
      </c>
      <c r="B20" s="112" t="s">
        <v>28</v>
      </c>
      <c r="C20" s="113">
        <v>8</v>
      </c>
      <c r="D20" s="114" t="s">
        <v>29</v>
      </c>
      <c r="E20" s="115">
        <f>(20000+(20000*0.06))*1.1</f>
        <v>23320.000000000004</v>
      </c>
      <c r="F20" s="116">
        <f>C20*E20</f>
        <v>186560.00000000003</v>
      </c>
    </row>
    <row r="21" spans="1:6" x14ac:dyDescent="0.25">
      <c r="A21" s="111" t="s">
        <v>30</v>
      </c>
      <c r="B21" s="112" t="s">
        <v>28</v>
      </c>
      <c r="C21" s="113">
        <v>8</v>
      </c>
      <c r="D21" s="114" t="s">
        <v>31</v>
      </c>
      <c r="E21" s="115">
        <f t="shared" ref="E21:E27" si="0">(20000+(20000*0.06))*1.1</f>
        <v>23320.000000000004</v>
      </c>
      <c r="F21" s="116">
        <f t="shared" ref="F21:F27" si="1">C21*E21</f>
        <v>186560.00000000003</v>
      </c>
    </row>
    <row r="22" spans="1:6" x14ac:dyDescent="0.25">
      <c r="A22" s="111" t="s">
        <v>32</v>
      </c>
      <c r="B22" s="112" t="s">
        <v>28</v>
      </c>
      <c r="C22" s="113">
        <v>4</v>
      </c>
      <c r="D22" s="114" t="s">
        <v>33</v>
      </c>
      <c r="E22" s="115">
        <f t="shared" si="0"/>
        <v>23320.000000000004</v>
      </c>
      <c r="F22" s="116">
        <f t="shared" si="1"/>
        <v>93280.000000000015</v>
      </c>
    </row>
    <row r="23" spans="1:6" x14ac:dyDescent="0.25">
      <c r="A23" s="117" t="s">
        <v>34</v>
      </c>
      <c r="B23" s="118" t="s">
        <v>28</v>
      </c>
      <c r="C23" s="119">
        <v>14</v>
      </c>
      <c r="D23" s="120" t="s">
        <v>35</v>
      </c>
      <c r="E23" s="115">
        <f t="shared" si="0"/>
        <v>23320.000000000004</v>
      </c>
      <c r="F23" s="116">
        <f t="shared" si="1"/>
        <v>326480.00000000006</v>
      </c>
    </row>
    <row r="24" spans="1:6" x14ac:dyDescent="0.25">
      <c r="A24" s="117" t="s">
        <v>36</v>
      </c>
      <c r="B24" s="118" t="s">
        <v>28</v>
      </c>
      <c r="C24" s="119">
        <v>9</v>
      </c>
      <c r="D24" s="120" t="s">
        <v>35</v>
      </c>
      <c r="E24" s="115">
        <f t="shared" si="0"/>
        <v>23320.000000000004</v>
      </c>
      <c r="F24" s="116">
        <f t="shared" si="1"/>
        <v>209880.00000000003</v>
      </c>
    </row>
    <row r="25" spans="1:6" x14ac:dyDescent="0.25">
      <c r="A25" s="117" t="s">
        <v>37</v>
      </c>
      <c r="B25" s="118" t="s">
        <v>28</v>
      </c>
      <c r="C25" s="121">
        <v>6</v>
      </c>
      <c r="D25" s="120" t="s">
        <v>38</v>
      </c>
      <c r="E25" s="115">
        <f t="shared" si="0"/>
        <v>23320.000000000004</v>
      </c>
      <c r="F25" s="116">
        <f t="shared" si="1"/>
        <v>139920.00000000003</v>
      </c>
    </row>
    <row r="26" spans="1:6" x14ac:dyDescent="0.25">
      <c r="A26" s="117" t="s">
        <v>39</v>
      </c>
      <c r="B26" s="118" t="s">
        <v>28</v>
      </c>
      <c r="C26" s="121">
        <v>2</v>
      </c>
      <c r="D26" s="120" t="s">
        <v>40</v>
      </c>
      <c r="E26" s="115">
        <f t="shared" si="0"/>
        <v>23320.000000000004</v>
      </c>
      <c r="F26" s="116">
        <f t="shared" si="1"/>
        <v>46640.000000000007</v>
      </c>
    </row>
    <row r="27" spans="1:6" x14ac:dyDescent="0.25">
      <c r="A27" s="122" t="s">
        <v>41</v>
      </c>
      <c r="B27" s="123" t="s">
        <v>28</v>
      </c>
      <c r="C27" s="124">
        <v>18.75</v>
      </c>
      <c r="D27" s="125" t="s">
        <v>42</v>
      </c>
      <c r="E27" s="115">
        <f t="shared" si="0"/>
        <v>23320.000000000004</v>
      </c>
      <c r="F27" s="116">
        <f t="shared" si="1"/>
        <v>437250.00000000006</v>
      </c>
    </row>
    <row r="28" spans="1:6" x14ac:dyDescent="0.25">
      <c r="A28" s="126" t="s">
        <v>43</v>
      </c>
      <c r="B28" s="42"/>
      <c r="C28" s="42"/>
      <c r="D28" s="42"/>
      <c r="E28" s="43"/>
      <c r="F28" s="127">
        <f>SUM(F20:F27)</f>
        <v>1626570.0000000002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44" t="s">
        <v>44</v>
      </c>
      <c r="B30" s="45"/>
      <c r="C30" s="46"/>
      <c r="D30" s="46"/>
      <c r="E30" s="47"/>
      <c r="F30" s="48"/>
    </row>
    <row r="31" spans="1:6" ht="24" x14ac:dyDescent="0.25">
      <c r="A31" s="49" t="s">
        <v>21</v>
      </c>
      <c r="B31" s="50" t="s">
        <v>22</v>
      </c>
      <c r="C31" s="50" t="s">
        <v>23</v>
      </c>
      <c r="D31" s="49" t="s">
        <v>118</v>
      </c>
      <c r="E31" s="50" t="s">
        <v>25</v>
      </c>
      <c r="F31" s="49" t="s">
        <v>26</v>
      </c>
    </row>
    <row r="32" spans="1:6" x14ac:dyDescent="0.25">
      <c r="A32" s="51"/>
      <c r="B32" s="52" t="s">
        <v>118</v>
      </c>
      <c r="C32" s="52" t="s">
        <v>118</v>
      </c>
      <c r="D32" s="52" t="s">
        <v>118</v>
      </c>
      <c r="E32" s="53" t="s">
        <v>118</v>
      </c>
      <c r="F32" s="54"/>
    </row>
    <row r="33" spans="1:7" x14ac:dyDescent="0.25">
      <c r="A33" s="55" t="s">
        <v>45</v>
      </c>
      <c r="B33" s="56"/>
      <c r="C33" s="56"/>
      <c r="D33" s="56"/>
      <c r="E33" s="57"/>
      <c r="F33" s="58"/>
    </row>
    <row r="34" spans="1:7" x14ac:dyDescent="0.25">
      <c r="A34" s="3"/>
      <c r="B34" s="3"/>
      <c r="C34" s="3"/>
      <c r="D34" s="3"/>
      <c r="E34" s="3"/>
      <c r="F34" s="3"/>
    </row>
    <row r="35" spans="1:7" x14ac:dyDescent="0.25">
      <c r="A35" s="44" t="s">
        <v>46</v>
      </c>
      <c r="B35" s="45"/>
      <c r="C35" s="46"/>
      <c r="D35" s="46"/>
      <c r="E35" s="47"/>
      <c r="F35" s="48"/>
    </row>
    <row r="36" spans="1:7" ht="24" x14ac:dyDescent="0.25">
      <c r="A36" s="59" t="s">
        <v>21</v>
      </c>
      <c r="B36" s="59" t="s">
        <v>22</v>
      </c>
      <c r="C36" s="59" t="s">
        <v>23</v>
      </c>
      <c r="D36" s="59" t="s">
        <v>24</v>
      </c>
      <c r="E36" s="60" t="s">
        <v>25</v>
      </c>
      <c r="F36" s="59" t="s">
        <v>26</v>
      </c>
    </row>
    <row r="37" spans="1:7" x14ac:dyDescent="0.25">
      <c r="A37" s="14" t="s">
        <v>48</v>
      </c>
      <c r="B37" s="15" t="s">
        <v>47</v>
      </c>
      <c r="C37" s="16">
        <v>0.46</v>
      </c>
      <c r="D37" s="17" t="s">
        <v>49</v>
      </c>
      <c r="E37" s="13">
        <v>176000</v>
      </c>
      <c r="F37" s="18">
        <f>C37*E37</f>
        <v>80960</v>
      </c>
    </row>
    <row r="38" spans="1:7" x14ac:dyDescent="0.25">
      <c r="A38" s="61" t="s">
        <v>50</v>
      </c>
      <c r="B38" s="62"/>
      <c r="C38" s="62"/>
      <c r="D38" s="62"/>
      <c r="E38" s="62"/>
      <c r="F38" s="63">
        <f>SUM(F37)</f>
        <v>80960</v>
      </c>
    </row>
    <row r="39" spans="1:7" x14ac:dyDescent="0.25">
      <c r="A39" s="3"/>
      <c r="B39" s="3"/>
      <c r="C39" s="3"/>
      <c r="D39" s="3"/>
      <c r="E39" s="3"/>
      <c r="F39" s="28"/>
    </row>
    <row r="40" spans="1:7" x14ac:dyDescent="0.25">
      <c r="A40" s="44" t="s">
        <v>51</v>
      </c>
      <c r="B40" s="45"/>
      <c r="C40" s="46"/>
      <c r="D40" s="46"/>
      <c r="E40" s="47"/>
      <c r="F40" s="48"/>
    </row>
    <row r="41" spans="1:7" ht="24.75" thickBot="1" x14ac:dyDescent="0.3">
      <c r="A41" s="64" t="s">
        <v>52</v>
      </c>
      <c r="B41" s="64" t="s">
        <v>53</v>
      </c>
      <c r="C41" s="64" t="s">
        <v>54</v>
      </c>
      <c r="D41" s="64" t="s">
        <v>24</v>
      </c>
      <c r="E41" s="64" t="s">
        <v>25</v>
      </c>
      <c r="F41" s="65" t="s">
        <v>26</v>
      </c>
    </row>
    <row r="42" spans="1:7" x14ac:dyDescent="0.25">
      <c r="A42" s="128" t="s">
        <v>115</v>
      </c>
      <c r="B42" s="129" t="s">
        <v>116</v>
      </c>
      <c r="C42" s="130">
        <v>1500</v>
      </c>
      <c r="D42" s="131" t="s">
        <v>117</v>
      </c>
      <c r="E42" s="132">
        <f>2000*1.1</f>
        <v>2200</v>
      </c>
      <c r="F42" s="133">
        <f>(C42*E42)</f>
        <v>3300000</v>
      </c>
    </row>
    <row r="43" spans="1:7" x14ac:dyDescent="0.25">
      <c r="A43" s="134" t="s">
        <v>55</v>
      </c>
      <c r="B43" s="135"/>
      <c r="C43" s="136"/>
      <c r="D43" s="136"/>
      <c r="E43" s="137"/>
      <c r="F43" s="138"/>
      <c r="G43" s="34"/>
    </row>
    <row r="44" spans="1:7" ht="25.5" x14ac:dyDescent="0.25">
      <c r="A44" s="139" t="s">
        <v>95</v>
      </c>
      <c r="B44" s="140" t="s">
        <v>56</v>
      </c>
      <c r="C44" s="141">
        <v>857</v>
      </c>
      <c r="D44" s="142" t="s">
        <v>89</v>
      </c>
      <c r="E44" s="143">
        <f>371*1.1</f>
        <v>408.1</v>
      </c>
      <c r="F44" s="144">
        <f>C44*E44</f>
        <v>349741.7</v>
      </c>
      <c r="G44" s="34"/>
    </row>
    <row r="45" spans="1:7" ht="25.5" x14ac:dyDescent="0.25">
      <c r="A45" s="139" t="s">
        <v>96</v>
      </c>
      <c r="B45" s="140" t="s">
        <v>56</v>
      </c>
      <c r="C45" s="141">
        <v>254</v>
      </c>
      <c r="D45" s="142" t="s">
        <v>90</v>
      </c>
      <c r="E45" s="143">
        <v>742</v>
      </c>
      <c r="F45" s="144">
        <f>C45*E45</f>
        <v>188468</v>
      </c>
      <c r="G45" s="34"/>
    </row>
    <row r="46" spans="1:7" ht="38.25" x14ac:dyDescent="0.25">
      <c r="A46" s="139" t="s">
        <v>94</v>
      </c>
      <c r="B46" s="140" t="s">
        <v>57</v>
      </c>
      <c r="C46" s="141">
        <v>30</v>
      </c>
      <c r="D46" s="142" t="s">
        <v>91</v>
      </c>
      <c r="E46" s="143">
        <f>1597*1.1</f>
        <v>1756.7</v>
      </c>
      <c r="F46" s="144">
        <f>C46*E46</f>
        <v>52701</v>
      </c>
      <c r="G46" s="34"/>
    </row>
    <row r="47" spans="1:7" x14ac:dyDescent="0.25">
      <c r="A47" s="139" t="s">
        <v>93</v>
      </c>
      <c r="B47" s="140" t="s">
        <v>56</v>
      </c>
      <c r="C47" s="141">
        <v>25</v>
      </c>
      <c r="D47" s="145" t="s">
        <v>92</v>
      </c>
      <c r="E47" s="143">
        <f>700*1.1</f>
        <v>770.00000000000011</v>
      </c>
      <c r="F47" s="144">
        <f>C47*E47</f>
        <v>19250.000000000004</v>
      </c>
      <c r="G47" s="34"/>
    </row>
    <row r="48" spans="1:7" ht="25.5" x14ac:dyDescent="0.25">
      <c r="A48" s="139" t="s">
        <v>97</v>
      </c>
      <c r="B48" s="140" t="s">
        <v>56</v>
      </c>
      <c r="C48" s="141">
        <v>73</v>
      </c>
      <c r="D48" s="142" t="s">
        <v>98</v>
      </c>
      <c r="E48" s="143">
        <f>206*1.1</f>
        <v>226.60000000000002</v>
      </c>
      <c r="F48" s="144">
        <f>C48*E48</f>
        <v>16541.800000000003</v>
      </c>
      <c r="G48" s="34"/>
    </row>
    <row r="49" spans="1:9" x14ac:dyDescent="0.25">
      <c r="A49" s="146" t="s">
        <v>58</v>
      </c>
      <c r="B49" s="140"/>
      <c r="C49" s="141"/>
      <c r="D49" s="145"/>
      <c r="E49" s="143"/>
      <c r="F49" s="144"/>
      <c r="G49" s="34"/>
    </row>
    <row r="50" spans="1:9" x14ac:dyDescent="0.25">
      <c r="A50" s="147" t="s">
        <v>99</v>
      </c>
      <c r="B50" s="148" t="s">
        <v>57</v>
      </c>
      <c r="C50" s="149">
        <v>1</v>
      </c>
      <c r="D50" s="150" t="s">
        <v>100</v>
      </c>
      <c r="E50" s="151">
        <f>123600*1.1</f>
        <v>135960</v>
      </c>
      <c r="F50" s="152">
        <f>C50*E50</f>
        <v>135960</v>
      </c>
      <c r="G50" s="34"/>
    </row>
    <row r="51" spans="1:9" x14ac:dyDescent="0.25">
      <c r="A51" s="147" t="s">
        <v>101</v>
      </c>
      <c r="B51" s="153" t="s">
        <v>57</v>
      </c>
      <c r="C51" s="154">
        <v>18</v>
      </c>
      <c r="D51" s="120" t="s">
        <v>102</v>
      </c>
      <c r="E51" s="155">
        <f>10300*1.1</f>
        <v>11330.000000000002</v>
      </c>
      <c r="F51" s="152">
        <f>C51*E51</f>
        <v>203940.00000000003</v>
      </c>
      <c r="G51" s="34"/>
    </row>
    <row r="52" spans="1:9" x14ac:dyDescent="0.25">
      <c r="A52" s="147" t="s">
        <v>103</v>
      </c>
      <c r="B52" s="153" t="s">
        <v>57</v>
      </c>
      <c r="C52" s="156">
        <v>18</v>
      </c>
      <c r="D52" s="120" t="s">
        <v>102</v>
      </c>
      <c r="E52" s="155">
        <f>10094*1.1</f>
        <v>11103.400000000001</v>
      </c>
      <c r="F52" s="152">
        <f>C52*E52</f>
        <v>199861.2</v>
      </c>
      <c r="G52" s="34"/>
    </row>
    <row r="53" spans="1:9" x14ac:dyDescent="0.25">
      <c r="A53" s="157" t="s">
        <v>59</v>
      </c>
      <c r="B53" s="158"/>
      <c r="C53" s="159"/>
      <c r="D53" s="159"/>
      <c r="E53" s="160"/>
      <c r="F53" s="152"/>
      <c r="G53" s="34"/>
    </row>
    <row r="54" spans="1:9" x14ac:dyDescent="0.25">
      <c r="A54" s="161" t="s">
        <v>104</v>
      </c>
      <c r="B54" s="153" t="s">
        <v>57</v>
      </c>
      <c r="C54" s="121">
        <v>8</v>
      </c>
      <c r="D54" s="121" t="s">
        <v>60</v>
      </c>
      <c r="E54" s="160">
        <f>6925*1.1</f>
        <v>7617.5000000000009</v>
      </c>
      <c r="F54" s="152">
        <f>C54*E54</f>
        <v>60940.000000000007</v>
      </c>
      <c r="G54" s="34"/>
    </row>
    <row r="55" spans="1:9" x14ac:dyDescent="0.25">
      <c r="A55" s="161" t="s">
        <v>107</v>
      </c>
      <c r="B55" s="153" t="s">
        <v>57</v>
      </c>
      <c r="C55" s="121">
        <v>4</v>
      </c>
      <c r="D55" s="121" t="s">
        <v>60</v>
      </c>
      <c r="E55" s="160">
        <f>12049*1.1</f>
        <v>13253.900000000001</v>
      </c>
      <c r="F55" s="152">
        <f>C55*E55</f>
        <v>53015.600000000006</v>
      </c>
      <c r="G55" s="34"/>
    </row>
    <row r="56" spans="1:9" x14ac:dyDescent="0.25">
      <c r="A56" s="161" t="s">
        <v>105</v>
      </c>
      <c r="B56" s="153" t="s">
        <v>106</v>
      </c>
      <c r="C56" s="121">
        <v>64</v>
      </c>
      <c r="D56" s="121" t="s">
        <v>60</v>
      </c>
      <c r="E56" s="160">
        <f>943*1.1</f>
        <v>1037.3000000000002</v>
      </c>
      <c r="F56" s="152">
        <f>C56*E56</f>
        <v>66387.200000000012</v>
      </c>
      <c r="G56" s="34"/>
    </row>
    <row r="57" spans="1:9" x14ac:dyDescent="0.25">
      <c r="A57" s="157" t="s">
        <v>61</v>
      </c>
      <c r="B57" s="153"/>
      <c r="C57" s="154"/>
      <c r="D57" s="120"/>
      <c r="E57" s="155"/>
      <c r="F57" s="152"/>
      <c r="G57" s="34"/>
    </row>
    <row r="58" spans="1:9" x14ac:dyDescent="0.25">
      <c r="A58" s="161" t="s">
        <v>110</v>
      </c>
      <c r="B58" s="153" t="s">
        <v>56</v>
      </c>
      <c r="C58" s="154">
        <v>2</v>
      </c>
      <c r="D58" s="120" t="s">
        <v>111</v>
      </c>
      <c r="E58" s="155">
        <f>125660*1.1</f>
        <v>138226</v>
      </c>
      <c r="F58" s="152">
        <f>C58*E58</f>
        <v>276452</v>
      </c>
      <c r="G58" s="34"/>
      <c r="I58" s="21"/>
    </row>
    <row r="59" spans="1:9" x14ac:dyDescent="0.25">
      <c r="A59" s="161" t="s">
        <v>108</v>
      </c>
      <c r="B59" s="153" t="s">
        <v>57</v>
      </c>
      <c r="C59" s="154">
        <v>1</v>
      </c>
      <c r="D59" s="120" t="s">
        <v>62</v>
      </c>
      <c r="E59" s="155">
        <f>9270*1.1</f>
        <v>10197</v>
      </c>
      <c r="F59" s="152">
        <v>9765</v>
      </c>
      <c r="G59" s="34"/>
    </row>
    <row r="60" spans="1:9" x14ac:dyDescent="0.25">
      <c r="A60" s="161" t="s">
        <v>109</v>
      </c>
      <c r="B60" s="153" t="s">
        <v>57</v>
      </c>
      <c r="C60" s="154">
        <v>1</v>
      </c>
      <c r="D60" s="120" t="s">
        <v>62</v>
      </c>
      <c r="E60" s="155">
        <f>16995*1.1</f>
        <v>18694.5</v>
      </c>
      <c r="F60" s="152">
        <f>C60*E60</f>
        <v>18694.5</v>
      </c>
    </row>
    <row r="61" spans="1:9" x14ac:dyDescent="0.25">
      <c r="A61" s="157" t="s">
        <v>63</v>
      </c>
      <c r="B61" s="153"/>
      <c r="C61" s="154"/>
      <c r="D61" s="121"/>
      <c r="E61" s="155"/>
      <c r="F61" s="152"/>
    </row>
    <row r="62" spans="1:9" x14ac:dyDescent="0.25">
      <c r="A62" s="161" t="s">
        <v>64</v>
      </c>
      <c r="B62" s="153" t="s">
        <v>57</v>
      </c>
      <c r="C62" s="154">
        <v>1</v>
      </c>
      <c r="D62" s="121" t="s">
        <v>60</v>
      </c>
      <c r="E62" s="155">
        <f>9969*1.1</f>
        <v>10965.900000000001</v>
      </c>
      <c r="F62" s="152">
        <f>C62*E62</f>
        <v>10965.900000000001</v>
      </c>
    </row>
    <row r="63" spans="1:9" x14ac:dyDescent="0.25">
      <c r="A63" s="161" t="s">
        <v>65</v>
      </c>
      <c r="B63" s="153" t="s">
        <v>57</v>
      </c>
      <c r="C63" s="154">
        <v>1</v>
      </c>
      <c r="D63" s="120" t="s">
        <v>60</v>
      </c>
      <c r="E63" s="155">
        <f>7781*1.1</f>
        <v>8559.1</v>
      </c>
      <c r="F63" s="152">
        <v>8014</v>
      </c>
    </row>
    <row r="64" spans="1:9" ht="15.75" thickBot="1" x14ac:dyDescent="0.3">
      <c r="A64" s="162" t="s">
        <v>66</v>
      </c>
      <c r="B64" s="163" t="s">
        <v>67</v>
      </c>
      <c r="C64" s="164">
        <v>40</v>
      </c>
      <c r="D64" s="165" t="s">
        <v>68</v>
      </c>
      <c r="E64" s="166">
        <f>18385*1.1</f>
        <v>20223.5</v>
      </c>
      <c r="F64" s="167">
        <f>C64*E64</f>
        <v>808940</v>
      </c>
    </row>
    <row r="65" spans="1:6" x14ac:dyDescent="0.25">
      <c r="A65" s="66" t="s">
        <v>69</v>
      </c>
      <c r="B65" s="67"/>
      <c r="C65" s="67"/>
      <c r="D65" s="67"/>
      <c r="E65" s="68"/>
      <c r="F65" s="69">
        <f>SUM(F42:F64)</f>
        <v>5779637.9000000004</v>
      </c>
    </row>
    <row r="66" spans="1:6" x14ac:dyDescent="0.25">
      <c r="A66" s="11"/>
      <c r="B66" s="19"/>
      <c r="C66" s="19"/>
      <c r="D66" s="19"/>
      <c r="E66" s="19"/>
      <c r="F66" s="19"/>
    </row>
    <row r="67" spans="1:6" x14ac:dyDescent="0.25">
      <c r="A67" s="44" t="s">
        <v>70</v>
      </c>
      <c r="B67" s="45"/>
      <c r="C67" s="46"/>
      <c r="D67" s="46"/>
      <c r="E67" s="47"/>
      <c r="F67" s="48"/>
    </row>
    <row r="68" spans="1:6" ht="24.75" thickBot="1" x14ac:dyDescent="0.3">
      <c r="A68" s="70" t="s">
        <v>71</v>
      </c>
      <c r="B68" s="64" t="s">
        <v>53</v>
      </c>
      <c r="C68" s="64" t="s">
        <v>54</v>
      </c>
      <c r="D68" s="70" t="s">
        <v>24</v>
      </c>
      <c r="E68" s="64" t="s">
        <v>25</v>
      </c>
      <c r="F68" s="70" t="s">
        <v>26</v>
      </c>
    </row>
    <row r="69" spans="1:6" ht="15.75" thickBot="1" x14ac:dyDescent="0.3">
      <c r="A69" s="168" t="s">
        <v>72</v>
      </c>
      <c r="B69" s="169" t="s">
        <v>73</v>
      </c>
      <c r="C69" s="170">
        <v>686</v>
      </c>
      <c r="D69" s="171" t="s">
        <v>74</v>
      </c>
      <c r="E69" s="172">
        <f>(150+(150*0.06))*1.1</f>
        <v>174.9</v>
      </c>
      <c r="F69" s="173">
        <f>C69*E69</f>
        <v>119981.40000000001</v>
      </c>
    </row>
    <row r="70" spans="1:6" x14ac:dyDescent="0.25">
      <c r="A70" s="71" t="s">
        <v>75</v>
      </c>
      <c r="B70" s="72"/>
      <c r="C70" s="72"/>
      <c r="D70" s="73"/>
      <c r="E70" s="74"/>
      <c r="F70" s="75">
        <f>SUM(F69)</f>
        <v>119981.40000000001</v>
      </c>
    </row>
    <row r="71" spans="1:6" x14ac:dyDescent="0.25">
      <c r="A71" s="76"/>
      <c r="B71" s="76"/>
      <c r="C71" s="76"/>
      <c r="D71" s="76"/>
      <c r="E71" s="77"/>
      <c r="F71" s="78"/>
    </row>
    <row r="72" spans="1:6" x14ac:dyDescent="0.25">
      <c r="A72" s="79" t="s">
        <v>76</v>
      </c>
      <c r="B72" s="80"/>
      <c r="C72" s="80"/>
      <c r="D72" s="80"/>
      <c r="E72" s="80"/>
      <c r="F72" s="81">
        <f>F70+F65+F38+F33+F28</f>
        <v>7607149.3000000007</v>
      </c>
    </row>
    <row r="73" spans="1:6" x14ac:dyDescent="0.25">
      <c r="A73" s="82" t="s">
        <v>119</v>
      </c>
      <c r="B73" s="83"/>
      <c r="C73" s="83"/>
      <c r="D73" s="83"/>
      <c r="E73" s="83"/>
      <c r="F73" s="84">
        <f>F72*0.05</f>
        <v>380357.46500000008</v>
      </c>
    </row>
    <row r="74" spans="1:6" x14ac:dyDescent="0.25">
      <c r="A74" s="85" t="s">
        <v>77</v>
      </c>
      <c r="B74" s="86"/>
      <c r="C74" s="86"/>
      <c r="D74" s="86"/>
      <c r="E74" s="86"/>
      <c r="F74" s="87">
        <f>F73+F72</f>
        <v>7987506.7650000006</v>
      </c>
    </row>
    <row r="75" spans="1:6" x14ac:dyDescent="0.25">
      <c r="A75" s="82" t="s">
        <v>78</v>
      </c>
      <c r="B75" s="83"/>
      <c r="C75" s="83"/>
      <c r="D75" s="83"/>
      <c r="E75" s="83"/>
      <c r="F75" s="84">
        <f>F11</f>
        <v>16500000</v>
      </c>
    </row>
    <row r="76" spans="1:6" x14ac:dyDescent="0.25">
      <c r="A76" s="88" t="s">
        <v>79</v>
      </c>
      <c r="B76" s="89"/>
      <c r="C76" s="89"/>
      <c r="D76" s="89"/>
      <c r="E76" s="89"/>
      <c r="F76" s="81">
        <f>F75-F74</f>
        <v>8512493.2349999994</v>
      </c>
    </row>
    <row r="77" spans="1:6" x14ac:dyDescent="0.25">
      <c r="B77" s="20"/>
      <c r="C77" s="1"/>
      <c r="D77" s="1"/>
      <c r="E77" s="1"/>
      <c r="F77" s="1"/>
    </row>
    <row r="78" spans="1:6" x14ac:dyDescent="0.25">
      <c r="A78" s="20" t="s">
        <v>80</v>
      </c>
      <c r="B78" s="20"/>
      <c r="C78" s="1"/>
      <c r="D78" s="1"/>
      <c r="E78" s="1"/>
      <c r="F78" s="1"/>
    </row>
    <row r="79" spans="1:6" x14ac:dyDescent="0.25">
      <c r="A79" s="20"/>
      <c r="B79" s="20"/>
      <c r="C79" s="1"/>
      <c r="D79" s="1"/>
      <c r="E79" s="1"/>
      <c r="F79" s="1"/>
    </row>
    <row r="80" spans="1:6" x14ac:dyDescent="0.25">
      <c r="A80" s="20" t="s">
        <v>81</v>
      </c>
      <c r="B80" s="20"/>
      <c r="C80" s="1"/>
      <c r="D80" s="1"/>
      <c r="E80" s="1"/>
      <c r="F80" s="1"/>
    </row>
    <row r="81" spans="1:6" x14ac:dyDescent="0.25">
      <c r="A81" s="20" t="s">
        <v>82</v>
      </c>
      <c r="B81" s="20"/>
      <c r="C81" s="1"/>
      <c r="D81" s="1"/>
      <c r="E81" s="1"/>
      <c r="F81" s="1"/>
    </row>
    <row r="82" spans="1:6" x14ac:dyDescent="0.25">
      <c r="A82" s="20" t="s">
        <v>83</v>
      </c>
      <c r="B82" s="20"/>
      <c r="C82" s="1"/>
      <c r="D82" s="1"/>
      <c r="E82" s="1"/>
      <c r="F82" s="1"/>
    </row>
    <row r="83" spans="1:6" x14ac:dyDescent="0.25">
      <c r="A83" s="20" t="s">
        <v>84</v>
      </c>
      <c r="B83" s="20"/>
      <c r="C83" s="1"/>
      <c r="D83" s="1"/>
      <c r="E83" s="1"/>
      <c r="F83" s="1"/>
    </row>
    <row r="84" spans="1:6" x14ac:dyDescent="0.25">
      <c r="A84" s="20" t="s">
        <v>85</v>
      </c>
      <c r="B84" s="20"/>
      <c r="C84" s="1"/>
      <c r="D84" s="1"/>
      <c r="E84" s="1"/>
      <c r="F84" s="1"/>
    </row>
    <row r="85" spans="1:6" x14ac:dyDescent="0.25">
      <c r="A85" s="20" t="s">
        <v>86</v>
      </c>
      <c r="B85" s="20"/>
      <c r="C85" s="1"/>
      <c r="D85" s="1"/>
      <c r="E85" s="1"/>
      <c r="F85" s="1"/>
    </row>
    <row r="86" spans="1:6" x14ac:dyDescent="0.25">
      <c r="A86" s="20" t="s">
        <v>87</v>
      </c>
      <c r="B86" s="1"/>
      <c r="C86" s="1"/>
      <c r="D86" s="1"/>
      <c r="E86" s="1"/>
      <c r="F86" s="1"/>
    </row>
    <row r="87" spans="1:6" x14ac:dyDescent="0.25">
      <c r="A87" s="1"/>
    </row>
    <row r="88" spans="1:6" ht="15.75" thickBot="1" x14ac:dyDescent="0.3">
      <c r="A88" s="187" t="s">
        <v>120</v>
      </c>
      <c r="B88" s="188"/>
      <c r="C88" s="90"/>
      <c r="D88" s="91"/>
    </row>
    <row r="89" spans="1:6" x14ac:dyDescent="0.25">
      <c r="A89" s="92" t="s">
        <v>71</v>
      </c>
      <c r="B89" s="93" t="s">
        <v>121</v>
      </c>
      <c r="C89" s="94" t="s">
        <v>122</v>
      </c>
      <c r="D89" s="91"/>
    </row>
    <row r="90" spans="1:6" x14ac:dyDescent="0.25">
      <c r="A90" s="95" t="s">
        <v>123</v>
      </c>
      <c r="B90" s="96">
        <f>F28</f>
        <v>1626570.0000000002</v>
      </c>
      <c r="C90" s="97">
        <f>(B90/B96)</f>
        <v>0.20363926414777817</v>
      </c>
      <c r="D90" s="91"/>
    </row>
    <row r="91" spans="1:6" x14ac:dyDescent="0.25">
      <c r="A91" s="95" t="s">
        <v>124</v>
      </c>
      <c r="B91" s="96">
        <f>F33</f>
        <v>0</v>
      </c>
      <c r="C91" s="97">
        <v>0</v>
      </c>
      <c r="D91" s="91"/>
    </row>
    <row r="92" spans="1:6" x14ac:dyDescent="0.25">
      <c r="A92" s="95" t="s">
        <v>125</v>
      </c>
      <c r="B92" s="96">
        <f>F38</f>
        <v>80960</v>
      </c>
      <c r="C92" s="97">
        <f>(B92/B96)</f>
        <v>1.013582866117297E-2</v>
      </c>
      <c r="D92" s="91"/>
    </row>
    <row r="93" spans="1:6" x14ac:dyDescent="0.25">
      <c r="A93" s="95" t="s">
        <v>52</v>
      </c>
      <c r="B93" s="96">
        <f>F65</f>
        <v>5779637.9000000004</v>
      </c>
      <c r="C93" s="97">
        <f>(B93/B96)</f>
        <v>0.72358472675421892</v>
      </c>
      <c r="D93" s="91"/>
    </row>
    <row r="94" spans="1:6" x14ac:dyDescent="0.25">
      <c r="A94" s="95" t="s">
        <v>126</v>
      </c>
      <c r="B94" s="98">
        <f>F70</f>
        <v>119981.40000000001</v>
      </c>
      <c r="C94" s="97">
        <f>(B94/B96)</f>
        <v>1.5021132817782347E-2</v>
      </c>
      <c r="D94" s="99"/>
    </row>
    <row r="95" spans="1:6" x14ac:dyDescent="0.25">
      <c r="A95" s="95" t="s">
        <v>127</v>
      </c>
      <c r="B95" s="98">
        <f>F73</f>
        <v>380357.46500000008</v>
      </c>
      <c r="C95" s="97">
        <f>(B95/B96)</f>
        <v>4.7619047619047623E-2</v>
      </c>
      <c r="D95" s="99"/>
    </row>
    <row r="96" spans="1:6" ht="15.75" thickBot="1" x14ac:dyDescent="0.3">
      <c r="A96" s="100" t="s">
        <v>128</v>
      </c>
      <c r="B96" s="101">
        <f>SUM(B90:B95)</f>
        <v>7987506.7650000006</v>
      </c>
      <c r="C96" s="102">
        <f>SUM(C90:C95)</f>
        <v>1</v>
      </c>
      <c r="D96" s="99"/>
    </row>
    <row r="97" spans="1:4" x14ac:dyDescent="0.25">
      <c r="A97" s="103"/>
      <c r="B97" s="104"/>
      <c r="C97" s="104"/>
      <c r="D97" s="104"/>
    </row>
    <row r="98" spans="1:4" ht="15.75" thickBot="1" x14ac:dyDescent="0.3">
      <c r="A98" s="105"/>
      <c r="B98" s="104"/>
      <c r="C98" s="104"/>
      <c r="D98" s="104"/>
    </row>
    <row r="99" spans="1:4" ht="15.75" thickBot="1" x14ac:dyDescent="0.3">
      <c r="A99" s="189" t="s">
        <v>130</v>
      </c>
      <c r="B99" s="190"/>
      <c r="C99" s="190"/>
      <c r="D99" s="191"/>
    </row>
    <row r="100" spans="1:4" x14ac:dyDescent="0.25">
      <c r="A100" s="106" t="s">
        <v>131</v>
      </c>
      <c r="B100" s="107">
        <v>7000</v>
      </c>
      <c r="C100" s="107">
        <v>7500</v>
      </c>
      <c r="D100" s="107">
        <v>8000</v>
      </c>
    </row>
    <row r="101" spans="1:4" ht="15.75" thickBot="1" x14ac:dyDescent="0.3">
      <c r="A101" s="100" t="s">
        <v>132</v>
      </c>
      <c r="B101" s="101">
        <f>(F75/B100)</f>
        <v>2357.1428571428573</v>
      </c>
      <c r="C101" s="101">
        <f>(F75/C100)</f>
        <v>2200</v>
      </c>
      <c r="D101" s="108">
        <f>(F75/D100)</f>
        <v>2062.5</v>
      </c>
    </row>
    <row r="102" spans="1:4" x14ac:dyDescent="0.25">
      <c r="A102" s="109" t="s">
        <v>129</v>
      </c>
      <c r="B102" s="110"/>
      <c r="C102" s="110"/>
      <c r="D102" s="110"/>
    </row>
  </sheetData>
  <mergeCells count="10">
    <mergeCell ref="A88:B88"/>
    <mergeCell ref="A99:D99"/>
    <mergeCell ref="D13:E13"/>
    <mergeCell ref="D14:E14"/>
    <mergeCell ref="A16:F16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170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102"/>
  <sheetViews>
    <sheetView tabSelected="1" topLeftCell="A93" zoomScale="110" zoomScaleNormal="110" workbookViewId="0">
      <selection activeCell="F103" sqref="F103"/>
    </sheetView>
  </sheetViews>
  <sheetFormatPr baseColWidth="10" defaultRowHeight="15" x14ac:dyDescent="0.25"/>
  <cols>
    <col min="1" max="1" width="28.140625" customWidth="1"/>
    <col min="2" max="2" width="18.140625" customWidth="1"/>
    <col min="3" max="3" width="12.28515625" customWidth="1"/>
    <col min="4" max="4" width="15.42578125" customWidth="1"/>
    <col min="5" max="5" width="10.28515625" customWidth="1"/>
    <col min="6" max="6" width="21.28515625" customWidth="1"/>
  </cols>
  <sheetData>
    <row r="7" spans="1:6" ht="15.75" thickBot="1" x14ac:dyDescent="0.3">
      <c r="A7" s="1"/>
      <c r="B7" s="1"/>
      <c r="C7" s="1"/>
      <c r="D7" s="2"/>
      <c r="E7" s="1"/>
      <c r="F7" s="1"/>
    </row>
    <row r="8" spans="1:6" ht="15" customHeight="1" x14ac:dyDescent="0.25">
      <c r="A8" s="36" t="s">
        <v>0</v>
      </c>
      <c r="B8" s="29" t="s">
        <v>1</v>
      </c>
      <c r="C8" s="3"/>
      <c r="D8" s="183" t="s">
        <v>2</v>
      </c>
      <c r="E8" s="184"/>
      <c r="F8" s="22">
        <v>7500</v>
      </c>
    </row>
    <row r="9" spans="1:6" ht="15" customHeight="1" x14ac:dyDescent="0.25">
      <c r="A9" s="4" t="s">
        <v>3</v>
      </c>
      <c r="B9" s="30" t="s">
        <v>4</v>
      </c>
      <c r="C9" s="3"/>
      <c r="D9" s="185" t="s">
        <v>5</v>
      </c>
      <c r="E9" s="186"/>
      <c r="F9" s="23" t="s">
        <v>112</v>
      </c>
    </row>
    <row r="10" spans="1:6" ht="15" customHeight="1" x14ac:dyDescent="0.25">
      <c r="A10" s="4" t="s">
        <v>6</v>
      </c>
      <c r="B10" s="31" t="s">
        <v>7</v>
      </c>
      <c r="C10" s="3"/>
      <c r="D10" s="185" t="s">
        <v>8</v>
      </c>
      <c r="E10" s="186"/>
      <c r="F10" s="24">
        <v>2200</v>
      </c>
    </row>
    <row r="11" spans="1:6" ht="15" customHeight="1" x14ac:dyDescent="0.25">
      <c r="A11" s="4" t="s">
        <v>9</v>
      </c>
      <c r="B11" s="32" t="s">
        <v>10</v>
      </c>
      <c r="C11" s="3"/>
      <c r="D11" s="185" t="s">
        <v>11</v>
      </c>
      <c r="E11" s="186"/>
      <c r="F11" s="35">
        <f>(F10*F8)</f>
        <v>16500000</v>
      </c>
    </row>
    <row r="12" spans="1:6" ht="27.6" customHeight="1" x14ac:dyDescent="0.25">
      <c r="A12" s="4" t="s">
        <v>12</v>
      </c>
      <c r="B12" s="32" t="s">
        <v>88</v>
      </c>
      <c r="C12" s="3"/>
      <c r="D12" s="185" t="s">
        <v>13</v>
      </c>
      <c r="E12" s="186"/>
      <c r="F12" s="25" t="s">
        <v>14</v>
      </c>
    </row>
    <row r="13" spans="1:6" ht="27" x14ac:dyDescent="0.25">
      <c r="A13" s="4" t="s">
        <v>15</v>
      </c>
      <c r="B13" s="31" t="s">
        <v>113</v>
      </c>
      <c r="C13" s="3"/>
      <c r="D13" s="185" t="s">
        <v>16</v>
      </c>
      <c r="E13" s="186"/>
      <c r="F13" s="26" t="s">
        <v>112</v>
      </c>
    </row>
    <row r="14" spans="1:6" ht="15.75" thickBot="1" x14ac:dyDescent="0.3">
      <c r="A14" s="5" t="s">
        <v>17</v>
      </c>
      <c r="B14" s="33">
        <v>44713</v>
      </c>
      <c r="C14" s="3"/>
      <c r="D14" s="192" t="s">
        <v>18</v>
      </c>
      <c r="E14" s="193"/>
      <c r="F14" s="27" t="s">
        <v>114</v>
      </c>
    </row>
    <row r="15" spans="1:6" x14ac:dyDescent="0.25">
      <c r="A15" s="6"/>
      <c r="B15" s="7"/>
      <c r="C15" s="3"/>
      <c r="D15" s="3"/>
      <c r="E15" s="3"/>
      <c r="F15" s="8"/>
    </row>
    <row r="16" spans="1:6" x14ac:dyDescent="0.25">
      <c r="A16" s="194" t="s">
        <v>19</v>
      </c>
      <c r="B16" s="195"/>
      <c r="C16" s="195"/>
      <c r="D16" s="195"/>
      <c r="E16" s="195"/>
      <c r="F16" s="195"/>
    </row>
    <row r="17" spans="1:6" x14ac:dyDescent="0.25">
      <c r="A17" s="1"/>
      <c r="B17" s="9"/>
      <c r="C17" s="9"/>
      <c r="D17" s="10"/>
      <c r="E17" s="11"/>
      <c r="F17" s="12"/>
    </row>
    <row r="18" spans="1:6" x14ac:dyDescent="0.25">
      <c r="A18" s="37" t="s">
        <v>20</v>
      </c>
      <c r="B18" s="38"/>
      <c r="C18" s="39"/>
      <c r="D18" s="39"/>
      <c r="E18" s="39"/>
      <c r="F18" s="40"/>
    </row>
    <row r="19" spans="1:6" ht="24" x14ac:dyDescent="0.25">
      <c r="A19" s="41" t="s">
        <v>21</v>
      </c>
      <c r="B19" s="41" t="s">
        <v>22</v>
      </c>
      <c r="C19" s="41" t="s">
        <v>23</v>
      </c>
      <c r="D19" s="41" t="s">
        <v>24</v>
      </c>
      <c r="E19" s="41" t="s">
        <v>25</v>
      </c>
      <c r="F19" s="41" t="s">
        <v>26</v>
      </c>
    </row>
    <row r="20" spans="1:6" ht="25.5" x14ac:dyDescent="0.25">
      <c r="A20" s="111" t="s">
        <v>27</v>
      </c>
      <c r="B20" s="112" t="s">
        <v>28</v>
      </c>
      <c r="C20" s="113">
        <v>8</v>
      </c>
      <c r="D20" s="114" t="s">
        <v>29</v>
      </c>
      <c r="E20" s="115">
        <v>26000</v>
      </c>
      <c r="F20" s="116">
        <f>C20*E20</f>
        <v>208000</v>
      </c>
    </row>
    <row r="21" spans="1:6" x14ac:dyDescent="0.25">
      <c r="A21" s="111" t="s">
        <v>30</v>
      </c>
      <c r="B21" s="112" t="s">
        <v>28</v>
      </c>
      <c r="C21" s="113">
        <v>8</v>
      </c>
      <c r="D21" s="114" t="s">
        <v>31</v>
      </c>
      <c r="E21" s="115">
        <v>26000</v>
      </c>
      <c r="F21" s="116">
        <f t="shared" ref="F21:F27" si="0">C21*E21</f>
        <v>208000</v>
      </c>
    </row>
    <row r="22" spans="1:6" x14ac:dyDescent="0.25">
      <c r="A22" s="111" t="s">
        <v>32</v>
      </c>
      <c r="B22" s="112" t="s">
        <v>28</v>
      </c>
      <c r="C22" s="113">
        <v>4</v>
      </c>
      <c r="D22" s="114" t="s">
        <v>33</v>
      </c>
      <c r="E22" s="115">
        <v>26000</v>
      </c>
      <c r="F22" s="116">
        <f t="shared" si="0"/>
        <v>104000</v>
      </c>
    </row>
    <row r="23" spans="1:6" x14ac:dyDescent="0.25">
      <c r="A23" s="117" t="s">
        <v>34</v>
      </c>
      <c r="B23" s="118" t="s">
        <v>28</v>
      </c>
      <c r="C23" s="119">
        <v>14</v>
      </c>
      <c r="D23" s="120" t="s">
        <v>35</v>
      </c>
      <c r="E23" s="115">
        <v>26000</v>
      </c>
      <c r="F23" s="116">
        <f t="shared" si="0"/>
        <v>364000</v>
      </c>
    </row>
    <row r="24" spans="1:6" x14ac:dyDescent="0.25">
      <c r="A24" s="117" t="s">
        <v>36</v>
      </c>
      <c r="B24" s="118" t="s">
        <v>28</v>
      </c>
      <c r="C24" s="119">
        <v>9</v>
      </c>
      <c r="D24" s="120" t="s">
        <v>35</v>
      </c>
      <c r="E24" s="115">
        <v>26000</v>
      </c>
      <c r="F24" s="116">
        <f t="shared" si="0"/>
        <v>234000</v>
      </c>
    </row>
    <row r="25" spans="1:6" x14ac:dyDescent="0.25">
      <c r="A25" s="117" t="s">
        <v>37</v>
      </c>
      <c r="B25" s="118" t="s">
        <v>28</v>
      </c>
      <c r="C25" s="121">
        <v>6</v>
      </c>
      <c r="D25" s="120" t="s">
        <v>38</v>
      </c>
      <c r="E25" s="115">
        <v>26000</v>
      </c>
      <c r="F25" s="116">
        <f t="shared" si="0"/>
        <v>156000</v>
      </c>
    </row>
    <row r="26" spans="1:6" x14ac:dyDescent="0.25">
      <c r="A26" s="117" t="s">
        <v>39</v>
      </c>
      <c r="B26" s="118" t="s">
        <v>28</v>
      </c>
      <c r="C26" s="121">
        <v>2</v>
      </c>
      <c r="D26" s="120" t="s">
        <v>40</v>
      </c>
      <c r="E26" s="115">
        <v>26000</v>
      </c>
      <c r="F26" s="116">
        <f t="shared" si="0"/>
        <v>52000</v>
      </c>
    </row>
    <row r="27" spans="1:6" x14ac:dyDescent="0.25">
      <c r="A27" s="122" t="s">
        <v>41</v>
      </c>
      <c r="B27" s="123" t="s">
        <v>28</v>
      </c>
      <c r="C27" s="124">
        <v>18.75</v>
      </c>
      <c r="D27" s="125" t="s">
        <v>42</v>
      </c>
      <c r="E27" s="115">
        <v>26000</v>
      </c>
      <c r="F27" s="116">
        <f t="shared" si="0"/>
        <v>487500</v>
      </c>
    </row>
    <row r="28" spans="1:6" x14ac:dyDescent="0.25">
      <c r="A28" s="126" t="s">
        <v>43</v>
      </c>
      <c r="B28" s="42"/>
      <c r="C28" s="42"/>
      <c r="D28" s="42"/>
      <c r="E28" s="43"/>
      <c r="F28" s="127">
        <f>SUM(F20:F27)</f>
        <v>1813500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44" t="s">
        <v>44</v>
      </c>
      <c r="B30" s="45"/>
      <c r="C30" s="46"/>
      <c r="D30" s="46"/>
      <c r="E30" s="47"/>
      <c r="F30" s="48"/>
    </row>
    <row r="31" spans="1:6" ht="24" x14ac:dyDescent="0.25">
      <c r="A31" s="49" t="s">
        <v>21</v>
      </c>
      <c r="B31" s="50" t="s">
        <v>22</v>
      </c>
      <c r="C31" s="50" t="s">
        <v>23</v>
      </c>
      <c r="D31" s="49" t="s">
        <v>118</v>
      </c>
      <c r="E31" s="50" t="s">
        <v>25</v>
      </c>
      <c r="F31" s="49" t="s">
        <v>26</v>
      </c>
    </row>
    <row r="32" spans="1:6" x14ac:dyDescent="0.25">
      <c r="A32" s="51"/>
      <c r="B32" s="52" t="s">
        <v>118</v>
      </c>
      <c r="C32" s="52" t="s">
        <v>118</v>
      </c>
      <c r="D32" s="52" t="s">
        <v>118</v>
      </c>
      <c r="E32" s="53" t="s">
        <v>118</v>
      </c>
      <c r="F32" s="54"/>
    </row>
    <row r="33" spans="1:8" x14ac:dyDescent="0.25">
      <c r="A33" s="55" t="s">
        <v>45</v>
      </c>
      <c r="B33" s="56"/>
      <c r="C33" s="56"/>
      <c r="D33" s="56"/>
      <c r="E33" s="57"/>
      <c r="F33" s="58"/>
    </row>
    <row r="34" spans="1:8" x14ac:dyDescent="0.25">
      <c r="A34" s="3"/>
      <c r="B34" s="3"/>
      <c r="C34" s="3"/>
      <c r="D34" s="3"/>
      <c r="E34" s="3"/>
      <c r="F34" s="3"/>
    </row>
    <row r="35" spans="1:8" x14ac:dyDescent="0.25">
      <c r="A35" s="44" t="s">
        <v>46</v>
      </c>
      <c r="B35" s="45"/>
      <c r="C35" s="46"/>
      <c r="D35" s="46"/>
      <c r="E35" s="47"/>
      <c r="F35" s="48"/>
    </row>
    <row r="36" spans="1:8" ht="24" x14ac:dyDescent="0.25">
      <c r="A36" s="59" t="s">
        <v>21</v>
      </c>
      <c r="B36" s="59" t="s">
        <v>22</v>
      </c>
      <c r="C36" s="59" t="s">
        <v>23</v>
      </c>
      <c r="D36" s="59" t="s">
        <v>24</v>
      </c>
      <c r="E36" s="60" t="s">
        <v>25</v>
      </c>
      <c r="F36" s="59" t="s">
        <v>26</v>
      </c>
    </row>
    <row r="37" spans="1:8" x14ac:dyDescent="0.25">
      <c r="A37" s="174" t="s">
        <v>48</v>
      </c>
      <c r="B37" s="175" t="s">
        <v>47</v>
      </c>
      <c r="C37" s="176">
        <v>0.46</v>
      </c>
      <c r="D37" s="177" t="s">
        <v>49</v>
      </c>
      <c r="E37" s="178">
        <v>180000</v>
      </c>
      <c r="F37" s="18">
        <f>C37*E37</f>
        <v>82800</v>
      </c>
    </row>
    <row r="38" spans="1:8" x14ac:dyDescent="0.25">
      <c r="A38" s="61" t="s">
        <v>50</v>
      </c>
      <c r="B38" s="62"/>
      <c r="C38" s="62"/>
      <c r="D38" s="62"/>
      <c r="E38" s="62"/>
      <c r="F38" s="63">
        <f>SUM(F37)</f>
        <v>82800</v>
      </c>
    </row>
    <row r="39" spans="1:8" x14ac:dyDescent="0.25">
      <c r="A39" s="3"/>
      <c r="B39" s="3"/>
      <c r="C39" s="3"/>
      <c r="D39" s="3"/>
      <c r="E39" s="3"/>
      <c r="F39" s="28"/>
    </row>
    <row r="40" spans="1:8" x14ac:dyDescent="0.25">
      <c r="A40" s="44" t="s">
        <v>51</v>
      </c>
      <c r="B40" s="45"/>
      <c r="C40" s="46"/>
      <c r="D40" s="46"/>
      <c r="E40" s="47"/>
      <c r="F40" s="48"/>
    </row>
    <row r="41" spans="1:8" ht="24.75" thickBot="1" x14ac:dyDescent="0.3">
      <c r="A41" s="64" t="s">
        <v>52</v>
      </c>
      <c r="B41" s="64" t="s">
        <v>53</v>
      </c>
      <c r="C41" s="64" t="s">
        <v>54</v>
      </c>
      <c r="D41" s="64" t="s">
        <v>24</v>
      </c>
      <c r="E41" s="64" t="s">
        <v>25</v>
      </c>
      <c r="F41" s="65" t="s">
        <v>26</v>
      </c>
    </row>
    <row r="42" spans="1:8" x14ac:dyDescent="0.25">
      <c r="A42" s="128" t="s">
        <v>115</v>
      </c>
      <c r="B42" s="129" t="s">
        <v>116</v>
      </c>
      <c r="C42" s="130">
        <v>1500</v>
      </c>
      <c r="D42" s="131" t="s">
        <v>117</v>
      </c>
      <c r="E42" s="180">
        <f>Paltos!E42*'Al 22.06.22'!$H$42</f>
        <v>2299</v>
      </c>
      <c r="F42" s="133">
        <f>(C42*E42)</f>
        <v>3448500</v>
      </c>
      <c r="H42">
        <v>1.0449999999999999</v>
      </c>
    </row>
    <row r="43" spans="1:8" x14ac:dyDescent="0.25">
      <c r="A43" s="134" t="s">
        <v>55</v>
      </c>
      <c r="B43" s="135"/>
      <c r="C43" s="136"/>
      <c r="D43" s="136"/>
      <c r="E43" s="181">
        <f>Paltos!E43*'Al 22.06.22'!$H$42</f>
        <v>0</v>
      </c>
      <c r="F43" s="138"/>
      <c r="G43" s="34"/>
    </row>
    <row r="44" spans="1:8" ht="25.5" x14ac:dyDescent="0.25">
      <c r="A44" s="139" t="s">
        <v>95</v>
      </c>
      <c r="B44" s="140" t="s">
        <v>56</v>
      </c>
      <c r="C44" s="141">
        <v>857</v>
      </c>
      <c r="D44" s="142" t="s">
        <v>89</v>
      </c>
      <c r="E44" s="181">
        <f>Paltos!E44*'Al 22.06.22'!$H$42</f>
        <v>426.46449999999999</v>
      </c>
      <c r="F44" s="144">
        <f>C44*E44</f>
        <v>365480.07649999997</v>
      </c>
      <c r="G44" s="34"/>
    </row>
    <row r="45" spans="1:8" ht="25.5" x14ac:dyDescent="0.25">
      <c r="A45" s="139" t="s">
        <v>96</v>
      </c>
      <c r="B45" s="140" t="s">
        <v>56</v>
      </c>
      <c r="C45" s="141">
        <v>254</v>
      </c>
      <c r="D45" s="142" t="s">
        <v>90</v>
      </c>
      <c r="E45" s="181">
        <f>Paltos!E45*'Al 22.06.22'!$H$42</f>
        <v>775.39</v>
      </c>
      <c r="F45" s="144">
        <f>C45*E45</f>
        <v>196949.06</v>
      </c>
      <c r="G45" s="34"/>
    </row>
    <row r="46" spans="1:8" ht="38.25" x14ac:dyDescent="0.25">
      <c r="A46" s="139" t="s">
        <v>94</v>
      </c>
      <c r="B46" s="140" t="s">
        <v>57</v>
      </c>
      <c r="C46" s="141">
        <v>30</v>
      </c>
      <c r="D46" s="142" t="s">
        <v>91</v>
      </c>
      <c r="E46" s="181">
        <f>Paltos!E46*'Al 22.06.22'!$H$42</f>
        <v>1835.7514999999999</v>
      </c>
      <c r="F46" s="144">
        <f>C46*E46</f>
        <v>55072.544999999998</v>
      </c>
      <c r="G46" s="34"/>
    </row>
    <row r="47" spans="1:8" x14ac:dyDescent="0.25">
      <c r="A47" s="139" t="s">
        <v>93</v>
      </c>
      <c r="B47" s="140" t="s">
        <v>56</v>
      </c>
      <c r="C47" s="141">
        <v>25</v>
      </c>
      <c r="D47" s="145" t="s">
        <v>92</v>
      </c>
      <c r="E47" s="181">
        <f>Paltos!E47*'Al 22.06.22'!$H$42</f>
        <v>804.65000000000009</v>
      </c>
      <c r="F47" s="144">
        <f>C47*E47</f>
        <v>20116.250000000004</v>
      </c>
      <c r="G47" s="34"/>
    </row>
    <row r="48" spans="1:8" ht="25.5" x14ac:dyDescent="0.25">
      <c r="A48" s="139" t="s">
        <v>97</v>
      </c>
      <c r="B48" s="140" t="s">
        <v>56</v>
      </c>
      <c r="C48" s="141">
        <v>73</v>
      </c>
      <c r="D48" s="142" t="s">
        <v>98</v>
      </c>
      <c r="E48" s="181">
        <f>Paltos!E48*'Al 22.06.22'!$H$42</f>
        <v>236.797</v>
      </c>
      <c r="F48" s="144">
        <f>C48*E48</f>
        <v>17286.181</v>
      </c>
      <c r="G48" s="34"/>
    </row>
    <row r="49" spans="1:9" x14ac:dyDescent="0.25">
      <c r="A49" s="146" t="s">
        <v>58</v>
      </c>
      <c r="B49" s="140"/>
      <c r="C49" s="141"/>
      <c r="D49" s="145"/>
      <c r="E49" s="181">
        <f>Paltos!E49*'Al 22.06.22'!$H$42</f>
        <v>0</v>
      </c>
      <c r="F49" s="144"/>
      <c r="G49" s="34"/>
    </row>
    <row r="50" spans="1:9" x14ac:dyDescent="0.25">
      <c r="A50" s="147" t="s">
        <v>99</v>
      </c>
      <c r="B50" s="148" t="s">
        <v>57</v>
      </c>
      <c r="C50" s="149">
        <v>1</v>
      </c>
      <c r="D50" s="150" t="s">
        <v>100</v>
      </c>
      <c r="E50" s="181">
        <f>Paltos!E50*'Al 22.06.22'!$H$42</f>
        <v>142078.19999999998</v>
      </c>
      <c r="F50" s="152">
        <f>C50*E50</f>
        <v>142078.19999999998</v>
      </c>
      <c r="G50" s="34"/>
    </row>
    <row r="51" spans="1:9" x14ac:dyDescent="0.25">
      <c r="A51" s="147" t="s">
        <v>101</v>
      </c>
      <c r="B51" s="153" t="s">
        <v>57</v>
      </c>
      <c r="C51" s="154">
        <v>18</v>
      </c>
      <c r="D51" s="120" t="s">
        <v>102</v>
      </c>
      <c r="E51" s="181">
        <f>Paltos!E51*'Al 22.06.22'!$H$42</f>
        <v>11839.85</v>
      </c>
      <c r="F51" s="152">
        <f>C51*E51</f>
        <v>213117.30000000002</v>
      </c>
      <c r="G51" s="34"/>
    </row>
    <row r="52" spans="1:9" x14ac:dyDescent="0.25">
      <c r="A52" s="147" t="s">
        <v>103</v>
      </c>
      <c r="B52" s="153" t="s">
        <v>57</v>
      </c>
      <c r="C52" s="156">
        <v>18</v>
      </c>
      <c r="D52" s="120" t="s">
        <v>102</v>
      </c>
      <c r="E52" s="181">
        <f>Paltos!E52*'Al 22.06.22'!$H$42</f>
        <v>11603.053</v>
      </c>
      <c r="F52" s="152">
        <f>C52*E52</f>
        <v>208854.954</v>
      </c>
      <c r="G52" s="34"/>
    </row>
    <row r="53" spans="1:9" x14ac:dyDescent="0.25">
      <c r="A53" s="157" t="s">
        <v>59</v>
      </c>
      <c r="B53" s="158"/>
      <c r="C53" s="159"/>
      <c r="D53" s="159"/>
      <c r="E53" s="181">
        <f>Paltos!E53*'Al 22.06.22'!$H$42</f>
        <v>0</v>
      </c>
      <c r="F53" s="152"/>
      <c r="G53" s="34"/>
    </row>
    <row r="54" spans="1:9" x14ac:dyDescent="0.25">
      <c r="A54" s="161" t="s">
        <v>104</v>
      </c>
      <c r="B54" s="153" t="s">
        <v>57</v>
      </c>
      <c r="C54" s="121">
        <v>8</v>
      </c>
      <c r="D54" s="121" t="s">
        <v>60</v>
      </c>
      <c r="E54" s="181">
        <f>Paltos!E54*'Al 22.06.22'!$H$42</f>
        <v>7960.2875000000004</v>
      </c>
      <c r="F54" s="152">
        <f>C54*E54</f>
        <v>63682.3</v>
      </c>
      <c r="G54" s="34"/>
    </row>
    <row r="55" spans="1:9" x14ac:dyDescent="0.25">
      <c r="A55" s="161" t="s">
        <v>107</v>
      </c>
      <c r="B55" s="153" t="s">
        <v>57</v>
      </c>
      <c r="C55" s="121">
        <v>4</v>
      </c>
      <c r="D55" s="121" t="s">
        <v>60</v>
      </c>
      <c r="E55" s="181">
        <f>Paltos!E55*'Al 22.06.22'!$H$42</f>
        <v>13850.325500000001</v>
      </c>
      <c r="F55" s="152">
        <f>C55*E55</f>
        <v>55401.302000000003</v>
      </c>
      <c r="G55" s="34"/>
    </row>
    <row r="56" spans="1:9" x14ac:dyDescent="0.25">
      <c r="A56" s="161" t="s">
        <v>105</v>
      </c>
      <c r="B56" s="153" t="s">
        <v>106</v>
      </c>
      <c r="C56" s="121">
        <v>64</v>
      </c>
      <c r="D56" s="121" t="s">
        <v>60</v>
      </c>
      <c r="E56" s="181">
        <f>Paltos!E56*'Al 22.06.22'!$H$42</f>
        <v>1083.9785000000002</v>
      </c>
      <c r="F56" s="152">
        <f>C56*E56</f>
        <v>69374.624000000011</v>
      </c>
      <c r="G56" s="34"/>
    </row>
    <row r="57" spans="1:9" x14ac:dyDescent="0.25">
      <c r="A57" s="157" t="s">
        <v>61</v>
      </c>
      <c r="B57" s="153"/>
      <c r="C57" s="154"/>
      <c r="D57" s="120"/>
      <c r="E57" s="181">
        <f>Paltos!E57*'Al 22.06.22'!$H$42</f>
        <v>0</v>
      </c>
      <c r="F57" s="152"/>
      <c r="G57" s="34"/>
    </row>
    <row r="58" spans="1:9" x14ac:dyDescent="0.25">
      <c r="A58" s="161" t="s">
        <v>110</v>
      </c>
      <c r="B58" s="153" t="s">
        <v>56</v>
      </c>
      <c r="C58" s="154">
        <v>2</v>
      </c>
      <c r="D58" s="120" t="s">
        <v>111</v>
      </c>
      <c r="E58" s="181">
        <f>Paltos!E58*'Al 22.06.22'!$H$42</f>
        <v>144446.16999999998</v>
      </c>
      <c r="F58" s="152">
        <f>C58*E58</f>
        <v>288892.33999999997</v>
      </c>
      <c r="G58" s="34"/>
      <c r="I58" s="21"/>
    </row>
    <row r="59" spans="1:9" x14ac:dyDescent="0.25">
      <c r="A59" s="161" t="s">
        <v>108</v>
      </c>
      <c r="B59" s="153" t="s">
        <v>57</v>
      </c>
      <c r="C59" s="154">
        <v>1</v>
      </c>
      <c r="D59" s="120" t="s">
        <v>62</v>
      </c>
      <c r="E59" s="181">
        <f>Paltos!E59*'Al 22.06.22'!$H$42</f>
        <v>10655.865</v>
      </c>
      <c r="F59" s="152">
        <v>9765</v>
      </c>
      <c r="G59" s="34"/>
    </row>
    <row r="60" spans="1:9" x14ac:dyDescent="0.25">
      <c r="A60" s="161" t="s">
        <v>109</v>
      </c>
      <c r="B60" s="153" t="s">
        <v>57</v>
      </c>
      <c r="C60" s="154">
        <v>1</v>
      </c>
      <c r="D60" s="120" t="s">
        <v>62</v>
      </c>
      <c r="E60" s="181">
        <f>Paltos!E60*'Al 22.06.22'!$H$42</f>
        <v>19535.752499999999</v>
      </c>
      <c r="F60" s="152">
        <f>C60*E60</f>
        <v>19535.752499999999</v>
      </c>
    </row>
    <row r="61" spans="1:9" x14ac:dyDescent="0.25">
      <c r="A61" s="157" t="s">
        <v>63</v>
      </c>
      <c r="B61" s="153"/>
      <c r="C61" s="154"/>
      <c r="D61" s="121"/>
      <c r="E61" s="181">
        <f>Paltos!E61*'Al 22.06.22'!$H$42</f>
        <v>0</v>
      </c>
      <c r="F61" s="152"/>
    </row>
    <row r="62" spans="1:9" x14ac:dyDescent="0.25">
      <c r="A62" s="161" t="s">
        <v>64</v>
      </c>
      <c r="B62" s="153" t="s">
        <v>57</v>
      </c>
      <c r="C62" s="154">
        <v>1</v>
      </c>
      <c r="D62" s="121" t="s">
        <v>60</v>
      </c>
      <c r="E62" s="181">
        <f>Paltos!E62*'Al 22.06.22'!$H$42</f>
        <v>11459.3655</v>
      </c>
      <c r="F62" s="152">
        <f>C62*E62</f>
        <v>11459.3655</v>
      </c>
    </row>
    <row r="63" spans="1:9" x14ac:dyDescent="0.25">
      <c r="A63" s="161" t="s">
        <v>65</v>
      </c>
      <c r="B63" s="153" t="s">
        <v>57</v>
      </c>
      <c r="C63" s="154">
        <v>1</v>
      </c>
      <c r="D63" s="120" t="s">
        <v>60</v>
      </c>
      <c r="E63" s="181">
        <f>Paltos!E63*'Al 22.06.22'!$H$42</f>
        <v>8944.2595000000001</v>
      </c>
      <c r="F63" s="152">
        <v>8014</v>
      </c>
    </row>
    <row r="64" spans="1:9" ht="15.75" thickBot="1" x14ac:dyDescent="0.3">
      <c r="A64" s="162" t="s">
        <v>66</v>
      </c>
      <c r="B64" s="163" t="s">
        <v>67</v>
      </c>
      <c r="C64" s="164">
        <v>40</v>
      </c>
      <c r="D64" s="165" t="s">
        <v>68</v>
      </c>
      <c r="E64" s="182">
        <f>Paltos!E64*'Al 22.06.22'!$H$42</f>
        <v>21133.557499999999</v>
      </c>
      <c r="F64" s="167">
        <f>C64*E64</f>
        <v>845342.29999999993</v>
      </c>
    </row>
    <row r="65" spans="1:6" x14ac:dyDescent="0.25">
      <c r="A65" s="66" t="s">
        <v>69</v>
      </c>
      <c r="B65" s="67"/>
      <c r="C65" s="67"/>
      <c r="D65" s="67"/>
      <c r="E65" s="179"/>
      <c r="F65" s="69">
        <f>SUM(F42:F64)</f>
        <v>6038921.5504999999</v>
      </c>
    </row>
    <row r="66" spans="1:6" x14ac:dyDescent="0.25">
      <c r="A66" s="11"/>
      <c r="B66" s="19"/>
      <c r="C66" s="19"/>
      <c r="D66" s="19"/>
      <c r="E66" s="19"/>
      <c r="F66" s="19"/>
    </row>
    <row r="67" spans="1:6" x14ac:dyDescent="0.25">
      <c r="A67" s="44" t="s">
        <v>70</v>
      </c>
      <c r="B67" s="45"/>
      <c r="C67" s="46"/>
      <c r="D67" s="46"/>
      <c r="E67" s="47"/>
      <c r="F67" s="48"/>
    </row>
    <row r="68" spans="1:6" ht="24.75" thickBot="1" x14ac:dyDescent="0.3">
      <c r="A68" s="70" t="s">
        <v>71</v>
      </c>
      <c r="B68" s="64" t="s">
        <v>53</v>
      </c>
      <c r="C68" s="64" t="s">
        <v>54</v>
      </c>
      <c r="D68" s="70" t="s">
        <v>24</v>
      </c>
      <c r="E68" s="64" t="s">
        <v>25</v>
      </c>
      <c r="F68" s="70" t="s">
        <v>26</v>
      </c>
    </row>
    <row r="69" spans="1:6" ht="15.75" thickBot="1" x14ac:dyDescent="0.3">
      <c r="A69" s="168" t="s">
        <v>72</v>
      </c>
      <c r="B69" s="169" t="s">
        <v>73</v>
      </c>
      <c r="C69" s="170">
        <v>686</v>
      </c>
      <c r="D69" s="171" t="s">
        <v>74</v>
      </c>
      <c r="E69" s="172">
        <f>Paltos!E69*'Al 22.06.22'!H42</f>
        <v>182.7705</v>
      </c>
      <c r="F69" s="173">
        <f>C69*E69</f>
        <v>125380.56299999999</v>
      </c>
    </row>
    <row r="70" spans="1:6" x14ac:dyDescent="0.25">
      <c r="A70" s="71" t="s">
        <v>75</v>
      </c>
      <c r="B70" s="72"/>
      <c r="C70" s="72"/>
      <c r="D70" s="73"/>
      <c r="E70" s="74"/>
      <c r="F70" s="75">
        <f>SUM(F69)</f>
        <v>125380.56299999999</v>
      </c>
    </row>
    <row r="71" spans="1:6" x14ac:dyDescent="0.25">
      <c r="A71" s="76"/>
      <c r="B71" s="76"/>
      <c r="C71" s="76"/>
      <c r="D71" s="76"/>
      <c r="E71" s="77"/>
      <c r="F71" s="78"/>
    </row>
    <row r="72" spans="1:6" x14ac:dyDescent="0.25">
      <c r="A72" s="79" t="s">
        <v>76</v>
      </c>
      <c r="B72" s="80"/>
      <c r="C72" s="80"/>
      <c r="D72" s="80"/>
      <c r="E72" s="80"/>
      <c r="F72" s="81">
        <f>F70+F65+F38+F33+F28</f>
        <v>8060602.1135</v>
      </c>
    </row>
    <row r="73" spans="1:6" x14ac:dyDescent="0.25">
      <c r="A73" s="82" t="s">
        <v>119</v>
      </c>
      <c r="B73" s="83"/>
      <c r="C73" s="83"/>
      <c r="D73" s="83"/>
      <c r="E73" s="83"/>
      <c r="F73" s="84">
        <f>F72*0.05</f>
        <v>403030.105675</v>
      </c>
    </row>
    <row r="74" spans="1:6" x14ac:dyDescent="0.25">
      <c r="A74" s="85" t="s">
        <v>77</v>
      </c>
      <c r="B74" s="86"/>
      <c r="C74" s="86"/>
      <c r="D74" s="86"/>
      <c r="E74" s="86"/>
      <c r="F74" s="87">
        <f>F73+F72</f>
        <v>8463632.2191749997</v>
      </c>
    </row>
    <row r="75" spans="1:6" x14ac:dyDescent="0.25">
      <c r="A75" s="82" t="s">
        <v>78</v>
      </c>
      <c r="B75" s="83"/>
      <c r="C75" s="83"/>
      <c r="D75" s="83"/>
      <c r="E75" s="83"/>
      <c r="F75" s="84">
        <f>F11</f>
        <v>16500000</v>
      </c>
    </row>
    <row r="76" spans="1:6" x14ac:dyDescent="0.25">
      <c r="A76" s="88" t="s">
        <v>79</v>
      </c>
      <c r="B76" s="89"/>
      <c r="C76" s="89"/>
      <c r="D76" s="89"/>
      <c r="E76" s="89"/>
      <c r="F76" s="81">
        <f>F75-F74</f>
        <v>8036367.7808250003</v>
      </c>
    </row>
    <row r="77" spans="1:6" x14ac:dyDescent="0.25">
      <c r="B77" s="20"/>
      <c r="C77" s="1"/>
      <c r="D77" s="1"/>
      <c r="E77" s="1"/>
      <c r="F77" s="1"/>
    </row>
    <row r="78" spans="1:6" x14ac:dyDescent="0.25">
      <c r="A78" s="20" t="s">
        <v>80</v>
      </c>
      <c r="B78" s="20"/>
      <c r="C78" s="1"/>
      <c r="D78" s="1"/>
      <c r="E78" s="1"/>
      <c r="F78" s="1"/>
    </row>
    <row r="79" spans="1:6" x14ac:dyDescent="0.25">
      <c r="A79" s="20"/>
      <c r="B79" s="20"/>
      <c r="C79" s="1"/>
      <c r="D79" s="1"/>
      <c r="E79" s="1"/>
      <c r="F79" s="1"/>
    </row>
    <row r="80" spans="1:6" x14ac:dyDescent="0.25">
      <c r="A80" s="20" t="s">
        <v>81</v>
      </c>
      <c r="B80" s="20"/>
      <c r="C80" s="1"/>
      <c r="D80" s="1"/>
      <c r="E80" s="1"/>
      <c r="F80" s="1"/>
    </row>
    <row r="81" spans="1:6" x14ac:dyDescent="0.25">
      <c r="A81" s="20" t="s">
        <v>82</v>
      </c>
      <c r="B81" s="20"/>
      <c r="C81" s="1"/>
      <c r="D81" s="1"/>
      <c r="E81" s="1"/>
      <c r="F81" s="1"/>
    </row>
    <row r="82" spans="1:6" x14ac:dyDescent="0.25">
      <c r="A82" s="20" t="s">
        <v>83</v>
      </c>
      <c r="B82" s="20"/>
      <c r="C82" s="1"/>
      <c r="D82" s="1"/>
      <c r="E82" s="1"/>
      <c r="F82" s="1"/>
    </row>
    <row r="83" spans="1:6" x14ac:dyDescent="0.25">
      <c r="A83" s="20" t="s">
        <v>84</v>
      </c>
      <c r="B83" s="20"/>
      <c r="C83" s="1"/>
      <c r="D83" s="1"/>
      <c r="E83" s="1"/>
      <c r="F83" s="1"/>
    </row>
    <row r="84" spans="1:6" x14ac:dyDescent="0.25">
      <c r="A84" s="20" t="s">
        <v>85</v>
      </c>
      <c r="B84" s="20"/>
      <c r="C84" s="1"/>
      <c r="D84" s="1"/>
      <c r="E84" s="1"/>
      <c r="F84" s="1"/>
    </row>
    <row r="85" spans="1:6" x14ac:dyDescent="0.25">
      <c r="A85" s="20" t="s">
        <v>86</v>
      </c>
      <c r="B85" s="20"/>
      <c r="C85" s="1"/>
      <c r="D85" s="1"/>
      <c r="E85" s="1"/>
      <c r="F85" s="1"/>
    </row>
    <row r="86" spans="1:6" x14ac:dyDescent="0.25">
      <c r="A86" s="20" t="s">
        <v>87</v>
      </c>
      <c r="B86" s="1"/>
      <c r="C86" s="1"/>
      <c r="D86" s="1"/>
      <c r="E86" s="1"/>
      <c r="F86" s="1"/>
    </row>
    <row r="87" spans="1:6" x14ac:dyDescent="0.25">
      <c r="A87" s="1"/>
    </row>
    <row r="88" spans="1:6" ht="15.75" thickBot="1" x14ac:dyDescent="0.3">
      <c r="A88" s="187" t="s">
        <v>120</v>
      </c>
      <c r="B88" s="188"/>
      <c r="C88" s="90"/>
      <c r="D88" s="91"/>
    </row>
    <row r="89" spans="1:6" x14ac:dyDescent="0.25">
      <c r="A89" s="92" t="s">
        <v>71</v>
      </c>
      <c r="B89" s="93" t="s">
        <v>121</v>
      </c>
      <c r="C89" s="94" t="s">
        <v>122</v>
      </c>
      <c r="D89" s="91"/>
    </row>
    <row r="90" spans="1:6" x14ac:dyDescent="0.25">
      <c r="A90" s="95" t="s">
        <v>123</v>
      </c>
      <c r="B90" s="96">
        <f>F28</f>
        <v>1813500</v>
      </c>
      <c r="C90" s="97">
        <f>(B90/B96)</f>
        <v>0.21426970750115754</v>
      </c>
      <c r="D90" s="91"/>
    </row>
    <row r="91" spans="1:6" x14ac:dyDescent="0.25">
      <c r="A91" s="95" t="s">
        <v>124</v>
      </c>
      <c r="B91" s="96">
        <f>F33</f>
        <v>0</v>
      </c>
      <c r="C91" s="97">
        <v>0</v>
      </c>
      <c r="D91" s="91"/>
    </row>
    <row r="92" spans="1:6" x14ac:dyDescent="0.25">
      <c r="A92" s="95" t="s">
        <v>125</v>
      </c>
      <c r="B92" s="96">
        <f>F38</f>
        <v>82800</v>
      </c>
      <c r="C92" s="97">
        <f>(B92/B96)</f>
        <v>9.7830337916161251E-3</v>
      </c>
      <c r="D92" s="91"/>
    </row>
    <row r="93" spans="1:6" x14ac:dyDescent="0.25">
      <c r="A93" s="95" t="s">
        <v>52</v>
      </c>
      <c r="B93" s="96">
        <f>F65</f>
        <v>6038921.5504999999</v>
      </c>
      <c r="C93" s="97">
        <f>(B93/B96)</f>
        <v>0.71351417383406213</v>
      </c>
      <c r="D93" s="91"/>
    </row>
    <row r="94" spans="1:6" x14ac:dyDescent="0.25">
      <c r="A94" s="95" t="s">
        <v>126</v>
      </c>
      <c r="B94" s="98">
        <f>F70</f>
        <v>125380.56299999999</v>
      </c>
      <c r="C94" s="97">
        <f>(B94/B96)</f>
        <v>1.48140372541166E-2</v>
      </c>
      <c r="D94" s="99"/>
    </row>
    <row r="95" spans="1:6" x14ac:dyDescent="0.25">
      <c r="A95" s="95" t="s">
        <v>127</v>
      </c>
      <c r="B95" s="98">
        <f>F73</f>
        <v>403030.105675</v>
      </c>
      <c r="C95" s="97">
        <f>(B95/B96)</f>
        <v>4.7619047619047623E-2</v>
      </c>
      <c r="D95" s="99"/>
    </row>
    <row r="96" spans="1:6" ht="15.75" thickBot="1" x14ac:dyDescent="0.3">
      <c r="A96" s="100" t="s">
        <v>128</v>
      </c>
      <c r="B96" s="101">
        <f>SUM(B90:B95)</f>
        <v>8463632.2191749997</v>
      </c>
      <c r="C96" s="102">
        <f>SUM(C90:C95)</f>
        <v>1</v>
      </c>
      <c r="D96" s="99"/>
    </row>
    <row r="97" spans="1:4" x14ac:dyDescent="0.25">
      <c r="A97" s="103"/>
      <c r="B97" s="104"/>
      <c r="C97" s="104"/>
      <c r="D97" s="104"/>
    </row>
    <row r="98" spans="1:4" ht="15.75" thickBot="1" x14ac:dyDescent="0.3">
      <c r="A98" s="105"/>
      <c r="B98" s="104"/>
      <c r="C98" s="104"/>
      <c r="D98" s="104"/>
    </row>
    <row r="99" spans="1:4" ht="15.75" thickBot="1" x14ac:dyDescent="0.3">
      <c r="A99" s="189" t="s">
        <v>130</v>
      </c>
      <c r="B99" s="190"/>
      <c r="C99" s="190"/>
      <c r="D99" s="191"/>
    </row>
    <row r="100" spans="1:4" x14ac:dyDescent="0.25">
      <c r="A100" s="106" t="s">
        <v>131</v>
      </c>
      <c r="B100" s="107">
        <v>7000</v>
      </c>
      <c r="C100" s="107">
        <v>7500</v>
      </c>
      <c r="D100" s="107">
        <v>8000</v>
      </c>
    </row>
    <row r="101" spans="1:4" ht="15.75" thickBot="1" x14ac:dyDescent="0.3">
      <c r="A101" s="100" t="s">
        <v>132</v>
      </c>
      <c r="B101" s="101">
        <f>(B96/B100)</f>
        <v>1209.0903170249999</v>
      </c>
      <c r="C101" s="101">
        <f>(B96/C100)</f>
        <v>1128.4842958899999</v>
      </c>
      <c r="D101" s="108">
        <f>(B96/D100)</f>
        <v>1057.9540273968751</v>
      </c>
    </row>
    <row r="102" spans="1:4" x14ac:dyDescent="0.25">
      <c r="A102" s="109" t="s">
        <v>129</v>
      </c>
      <c r="B102" s="110"/>
      <c r="C102" s="110"/>
      <c r="D102" s="110"/>
    </row>
  </sheetData>
  <mergeCells count="10">
    <mergeCell ref="D14:E14"/>
    <mergeCell ref="A16:F16"/>
    <mergeCell ref="A88:B88"/>
    <mergeCell ref="A99:D99"/>
    <mergeCell ref="D8:E8"/>
    <mergeCell ref="D9:E9"/>
    <mergeCell ref="D10:E10"/>
    <mergeCell ref="D11:E11"/>
    <mergeCell ref="D12:E12"/>
    <mergeCell ref="D13:E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1875AC-0934-4C83-9AFE-EE66AA4E8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59729-6022-4308-B379-082F909A242B}">
  <ds:schemaRefs>
    <ds:schemaRef ds:uri="c5dbce2d-49dc-4afe-a5b0-d7fb7a901161"/>
    <ds:schemaRef ds:uri="1030f0af-99cb-42f1-88fc-acec73331192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F92B19-19CF-4C33-B26C-A298BEC360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Paltos</vt:lpstr>
      <vt:lpstr>Al 22.06.22</vt:lpstr>
      <vt:lpstr>Hoja3</vt:lpstr>
      <vt:lpstr>Paltos!Área_de_impresión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Usuario-pc</dc:creator>
  <cp:lastModifiedBy>Juan Carlos Campos Olivares</cp:lastModifiedBy>
  <cp:lastPrinted>2019-03-20T19:59:40Z</cp:lastPrinted>
  <dcterms:created xsi:type="dcterms:W3CDTF">2018-02-06T15:13:35Z</dcterms:created>
  <dcterms:modified xsi:type="dcterms:W3CDTF">2022-07-22T13:55:05Z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