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linasa\OneDrive - INDAP\FINANCIERO 2020-2021 (1)\Fichas\2022\Valparaíso 2022\Actualizadas al 22.06.2022\Limache\"/>
    </mc:Choice>
  </mc:AlternateContent>
  <bookViews>
    <workbookView xWindow="0" yWindow="0" windowWidth="23040" windowHeight="8616" activeTab="1"/>
  </bookViews>
  <sheets>
    <sheet name="TOMATE INVERNADERO " sheetId="1" r:id="rId1"/>
    <sheet name="Al 22.06.22" sheetId="2" r:id="rId2"/>
  </sheets>
  <definedNames>
    <definedName name="_xlnm.Print_Area" localSheetId="0">'TOMATE INVERNADERO '!$B$1:$G$150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2" l="1"/>
  <c r="F61" i="2"/>
  <c r="G61" i="2" s="1"/>
  <c r="F62" i="2"/>
  <c r="F63" i="2"/>
  <c r="F64" i="2"/>
  <c r="F65" i="2"/>
  <c r="F66" i="2"/>
  <c r="F67" i="2"/>
  <c r="F68" i="2"/>
  <c r="F69" i="2"/>
  <c r="G69" i="2" s="1"/>
  <c r="F70" i="2"/>
  <c r="F71" i="2"/>
  <c r="F72" i="2"/>
  <c r="F73" i="2"/>
  <c r="F74" i="2"/>
  <c r="F75" i="2"/>
  <c r="F76" i="2"/>
  <c r="F77" i="2"/>
  <c r="G77" i="2" s="1"/>
  <c r="F78" i="2"/>
  <c r="F79" i="2"/>
  <c r="G79" i="2" s="1"/>
  <c r="F80" i="2"/>
  <c r="F81" i="2"/>
  <c r="F82" i="2"/>
  <c r="G82" i="2" s="1"/>
  <c r="F83" i="2"/>
  <c r="F84" i="2"/>
  <c r="F85" i="2"/>
  <c r="G85" i="2" s="1"/>
  <c r="F86" i="2"/>
  <c r="F87" i="2"/>
  <c r="G87" i="2" s="1"/>
  <c r="F88" i="2"/>
  <c r="F89" i="2"/>
  <c r="F90" i="2"/>
  <c r="G90" i="2" s="1"/>
  <c r="F91" i="2"/>
  <c r="F92" i="2"/>
  <c r="G92" i="2" s="1"/>
  <c r="F93" i="2"/>
  <c r="F94" i="2"/>
  <c r="F95" i="2"/>
  <c r="G95" i="2" s="1"/>
  <c r="F96" i="2"/>
  <c r="F97" i="2"/>
  <c r="F98" i="2"/>
  <c r="F99" i="2"/>
  <c r="F100" i="2"/>
  <c r="F101" i="2"/>
  <c r="G101" i="2" s="1"/>
  <c r="F102" i="2"/>
  <c r="F103" i="2"/>
  <c r="F104" i="2"/>
  <c r="G104" i="2" s="1"/>
  <c r="F105" i="2"/>
  <c r="F106" i="2"/>
  <c r="G106" i="2" s="1"/>
  <c r="F107" i="2"/>
  <c r="F108" i="2"/>
  <c r="F109" i="2"/>
  <c r="G109" i="2" s="1"/>
  <c r="F110" i="2"/>
  <c r="F111" i="2"/>
  <c r="F112" i="2"/>
  <c r="G112" i="2" s="1"/>
  <c r="F113" i="2"/>
  <c r="F59" i="2"/>
  <c r="D148" i="2"/>
  <c r="C139" i="2"/>
  <c r="G118" i="2"/>
  <c r="G119" i="2" s="1"/>
  <c r="C142" i="2" s="1"/>
  <c r="D112" i="2"/>
  <c r="G111" i="2"/>
  <c r="G110" i="2"/>
  <c r="G107" i="2"/>
  <c r="G105" i="2"/>
  <c r="G103" i="2"/>
  <c r="G102" i="2"/>
  <c r="G100" i="2"/>
  <c r="G94" i="2"/>
  <c r="G93" i="2"/>
  <c r="G91" i="2"/>
  <c r="G86" i="2"/>
  <c r="G84" i="2"/>
  <c r="G83" i="2"/>
  <c r="G81" i="2"/>
  <c r="G80" i="2"/>
  <c r="G78" i="2"/>
  <c r="G76" i="2"/>
  <c r="G73" i="2"/>
  <c r="G71" i="2"/>
  <c r="G70" i="2"/>
  <c r="G67" i="2"/>
  <c r="G66" i="2"/>
  <c r="G65" i="2"/>
  <c r="G64" i="2"/>
  <c r="G63" i="2"/>
  <c r="G62" i="2"/>
  <c r="G60" i="2"/>
  <c r="D59" i="2"/>
  <c r="G53" i="2"/>
  <c r="G54" i="2" s="1"/>
  <c r="C140" i="2" s="1"/>
  <c r="G52" i="2"/>
  <c r="G42" i="2"/>
  <c r="G40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2" i="2"/>
  <c r="G12" i="2"/>
  <c r="G124" i="2" s="1"/>
  <c r="G43" i="2" l="1"/>
  <c r="C138" i="2" s="1"/>
  <c r="G59" i="2"/>
  <c r="G114" i="2" s="1"/>
  <c r="C141" i="2" s="1"/>
  <c r="G53" i="1"/>
  <c r="G52" i="1"/>
  <c r="G121" i="2" l="1"/>
  <c r="G122" i="2" s="1"/>
  <c r="C143" i="2" s="1"/>
  <c r="C144" i="2" s="1"/>
  <c r="D138" i="2" s="1"/>
  <c r="G22" i="1"/>
  <c r="F69" i="1"/>
  <c r="G69" i="1" s="1"/>
  <c r="G12" i="1"/>
  <c r="G123" i="2" l="1"/>
  <c r="E149" i="2" s="1"/>
  <c r="D143" i="2"/>
  <c r="D140" i="2"/>
  <c r="D141" i="2"/>
  <c r="D142" i="2"/>
  <c r="G94" i="1"/>
  <c r="F109" i="1"/>
  <c r="F106" i="1"/>
  <c r="G125" i="2" l="1"/>
  <c r="C149" i="2"/>
  <c r="D149" i="2"/>
  <c r="D144" i="2"/>
  <c r="G71" i="1"/>
  <c r="G66" i="1"/>
  <c r="F60" i="1"/>
  <c r="F64" i="1"/>
  <c r="G64" i="1" s="1"/>
  <c r="G65" i="1"/>
  <c r="F67" i="1"/>
  <c r="G67" i="1" s="1"/>
  <c r="F63" i="1"/>
  <c r="G63" i="1" s="1"/>
  <c r="F62" i="1"/>
  <c r="G62" i="1" s="1"/>
  <c r="F61" i="1"/>
  <c r="G61" i="1" s="1"/>
  <c r="D59" i="1"/>
  <c r="G118" i="1"/>
  <c r="G119" i="1" s="1"/>
  <c r="G109" i="1"/>
  <c r="G110" i="1"/>
  <c r="F111" i="1"/>
  <c r="G111" i="1" s="1"/>
  <c r="F112" i="1"/>
  <c r="D112" i="1"/>
  <c r="F91" i="1"/>
  <c r="F93" i="1"/>
  <c r="F92" i="1"/>
  <c r="F103" i="1"/>
  <c r="F90" i="1"/>
  <c r="G90" i="1" s="1"/>
  <c r="G59" i="1" l="1"/>
  <c r="G54" i="1"/>
  <c r="G112" i="1"/>
  <c r="G60" i="1"/>
  <c r="F105" i="1" l="1"/>
  <c r="G105" i="1" s="1"/>
  <c r="F70" i="1"/>
  <c r="G70" i="1" s="1"/>
  <c r="G40" i="1"/>
  <c r="F104" i="1"/>
  <c r="F102" i="1"/>
  <c r="F101" i="1"/>
  <c r="F100" i="1"/>
  <c r="F95" i="1"/>
  <c r="F87" i="1"/>
  <c r="F86" i="1"/>
  <c r="F85" i="1"/>
  <c r="F84" i="1"/>
  <c r="F83" i="1"/>
  <c r="F82" i="1"/>
  <c r="F81" i="1"/>
  <c r="F80" i="1"/>
  <c r="F79" i="1"/>
  <c r="F78" i="1"/>
  <c r="F77" i="1"/>
  <c r="G91" i="1" l="1"/>
  <c r="G92" i="1"/>
  <c r="G93" i="1"/>
  <c r="G95" i="1"/>
  <c r="G100" i="1"/>
  <c r="G101" i="1"/>
  <c r="G102" i="1"/>
  <c r="G103" i="1"/>
  <c r="G104" i="1"/>
  <c r="G106" i="1"/>
  <c r="G107" i="1"/>
  <c r="G76" i="1"/>
  <c r="G77" i="1"/>
  <c r="G78" i="1"/>
  <c r="G79" i="1"/>
  <c r="G80" i="1"/>
  <c r="G81" i="1"/>
  <c r="G82" i="1"/>
  <c r="G83" i="1"/>
  <c r="G84" i="1"/>
  <c r="G85" i="1"/>
  <c r="G86" i="1"/>
  <c r="G87" i="1"/>
  <c r="G73" i="1"/>
  <c r="G114" i="1" l="1"/>
  <c r="G24" i="1"/>
  <c r="G25" i="1"/>
  <c r="G26" i="1"/>
  <c r="G27" i="1"/>
  <c r="G28" i="1"/>
  <c r="G29" i="1"/>
  <c r="D148" i="1"/>
  <c r="G42" i="1"/>
  <c r="G30" i="1"/>
  <c r="G31" i="1"/>
  <c r="G32" i="1"/>
  <c r="G33" i="1"/>
  <c r="G34" i="1"/>
  <c r="G35" i="1"/>
  <c r="G36" i="1"/>
  <c r="G37" i="1"/>
  <c r="G38" i="1"/>
  <c r="G43" i="1" l="1"/>
  <c r="G121" i="1" s="1"/>
  <c r="C140" i="1"/>
  <c r="C141" i="1"/>
  <c r="C142" i="1"/>
  <c r="C138" i="1" l="1"/>
  <c r="C139" i="1"/>
  <c r="G124" i="1"/>
  <c r="G122" i="1" l="1"/>
  <c r="C143" i="1" s="1"/>
  <c r="G123" i="1" l="1"/>
  <c r="C144" i="1"/>
  <c r="D138" i="1" s="1"/>
  <c r="E149" i="1" l="1"/>
  <c r="C149" i="1"/>
  <c r="D149" i="1"/>
  <c r="G125" i="1"/>
  <c r="D143" i="1"/>
  <c r="D141" i="1"/>
  <c r="D142" i="1"/>
  <c r="D140" i="1"/>
  <c r="D144" i="1" l="1"/>
</calcChain>
</file>

<file path=xl/sharedStrings.xml><?xml version="1.0" encoding="utf-8"?>
<sst xmlns="http://schemas.openxmlformats.org/spreadsheetml/2006/main" count="598" uniqueCount="187">
  <si>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</si>
  <si>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</si>
  <si>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</si>
  <si>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</si>
  <si>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</si>
  <si>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</si>
  <si>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</si>
  <si>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</si>
  <si>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</si>
  <si>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</si>
  <si>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</si>
  <si>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</si>
  <si>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</si>
  <si>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</si>
  <si>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</si>
  <si>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</si>
  <si>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</si>
  <si>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</si>
  <si>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</si>
  <si>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</si>
  <si>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</si>
  <si>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</si>
  <si>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</si>
  <si>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</si>
  <si>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</si>
  <si>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</si>
  <si>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</si>
  <si>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</si>
  <si>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</si>
  <si>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</si>
  <si>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</si>
  <si>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</si>
  <si>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</si>
  <si>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</si>
  <si>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</si>
  <si>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</si>
  <si>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</si>
  <si>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</si>
  <si>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</si>
  <si>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</si>
  <si>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</si>
  <si>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</si>
  <si>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</si>
  <si>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</si>
  <si>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</si>
  <si>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</si>
  <si>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</si>
  <si>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</si>
  <si>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</si>
  <si>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</si>
  <si>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</si>
  <si>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</si>
  <si>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</si>
  <si>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</si>
  <si>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</si>
  <si>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</si>
  <si>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</si>
  <si>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</si>
  <si>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FERTILIZANTE</t>
  </si>
  <si>
    <t>u</t>
  </si>
  <si>
    <t>kg</t>
  </si>
  <si>
    <t>Sept</t>
  </si>
  <si>
    <t>Todas las comunas</t>
  </si>
  <si>
    <t xml:space="preserve">TOMATE INVERNADERO </t>
  </si>
  <si>
    <t>VALPARAISO</t>
  </si>
  <si>
    <t>RENDIMIENTO (Kg/ha)</t>
  </si>
  <si>
    <t>Marzo</t>
  </si>
  <si>
    <t>Abril</t>
  </si>
  <si>
    <t xml:space="preserve">Desparramar guano </t>
  </si>
  <si>
    <t>Mayo</t>
  </si>
  <si>
    <t xml:space="preserve">Poner cintas </t>
  </si>
  <si>
    <t>Fertilización de fondo</t>
  </si>
  <si>
    <t>Transplante plantines</t>
  </si>
  <si>
    <t>Junio</t>
  </si>
  <si>
    <t xml:space="preserve">Tumbar plantas hacia cada lado </t>
  </si>
  <si>
    <t>Julio</t>
  </si>
  <si>
    <t>Arreglo de racimo</t>
  </si>
  <si>
    <t>Sept-nov</t>
  </si>
  <si>
    <t xml:space="preserve">Despeje de racimos </t>
  </si>
  <si>
    <t>Sept-oct</t>
  </si>
  <si>
    <t xml:space="preserve">Conducción, amarra, poda </t>
  </si>
  <si>
    <t xml:space="preserve">Aplicación Fitosanitarios </t>
  </si>
  <si>
    <t>Jun-Dic</t>
  </si>
  <si>
    <t>Fertirriego</t>
  </si>
  <si>
    <t>Jul-Dic</t>
  </si>
  <si>
    <t>Ventilación</t>
  </si>
  <si>
    <t>Eliminación doble techo</t>
  </si>
  <si>
    <t>Limpieza pasillos</t>
  </si>
  <si>
    <t>Arranca de plantas y raspado de pasillos</t>
  </si>
  <si>
    <t>Dic</t>
  </si>
  <si>
    <t>Eliminación de rastrojo</t>
  </si>
  <si>
    <t>N/A</t>
  </si>
  <si>
    <t>horas</t>
  </si>
  <si>
    <t>metro lineal</t>
  </si>
  <si>
    <t>Kg</t>
  </si>
  <si>
    <t>Cinta garetta</t>
  </si>
  <si>
    <t>Guano ave descompuesto</t>
  </si>
  <si>
    <t>m3</t>
  </si>
  <si>
    <t>Mezcla 17-20-20</t>
  </si>
  <si>
    <t>Fosfato monopotasico soluble</t>
  </si>
  <si>
    <t>Julio-agosto</t>
  </si>
  <si>
    <t>Nitrato de potasio soluble</t>
  </si>
  <si>
    <t xml:space="preserve"> Kg</t>
  </si>
  <si>
    <t>Nitrato de calcio soluble</t>
  </si>
  <si>
    <t>Nitrato magnesio soluble</t>
  </si>
  <si>
    <t>Ultrasol multipropósito</t>
  </si>
  <si>
    <t>Ultrasol crecimiento</t>
  </si>
  <si>
    <t>Sulfato de potasio soluble</t>
  </si>
  <si>
    <t>Sulfato ferroso</t>
  </si>
  <si>
    <t xml:space="preserve">Acido fosforico </t>
  </si>
  <si>
    <t>Sep-Dic</t>
  </si>
  <si>
    <t>Kelpak</t>
  </si>
  <si>
    <t>Proclaim</t>
  </si>
  <si>
    <t>Hurricane</t>
  </si>
  <si>
    <t>Coragen</t>
  </si>
  <si>
    <t>Evisect</t>
  </si>
  <si>
    <t>Applaud</t>
  </si>
  <si>
    <t>Previcur Energy</t>
  </si>
  <si>
    <t>Bellis</t>
  </si>
  <si>
    <t>Ago-Oct</t>
  </si>
  <si>
    <t>Luna Experience</t>
  </si>
  <si>
    <t>Nov-Dic</t>
  </si>
  <si>
    <t>Goldazim</t>
  </si>
  <si>
    <t>Switch</t>
  </si>
  <si>
    <t>Mastercop</t>
  </si>
  <si>
    <t>Ago-Sept</t>
  </si>
  <si>
    <t>oct- dic</t>
  </si>
  <si>
    <t>Mercado Mayorista</t>
  </si>
  <si>
    <t xml:space="preserve">Heladas - sequia </t>
  </si>
  <si>
    <t>INSECTICIDAS</t>
  </si>
  <si>
    <t xml:space="preserve">FUNGICIDAS </t>
  </si>
  <si>
    <t>Energia electrica</t>
  </si>
  <si>
    <t>Global</t>
  </si>
  <si>
    <t>Jun-dic</t>
  </si>
  <si>
    <t>Agosto</t>
  </si>
  <si>
    <t xml:space="preserve">Tiras pegajosas adhesivas amarillas </t>
  </si>
  <si>
    <t>Rendimiento (kg/hà)</t>
  </si>
  <si>
    <t>Costo unitario ($/kg) (*)</t>
  </si>
  <si>
    <t>LT</t>
  </si>
  <si>
    <t>ESCENARIOS COSTO UNITARIO  ($/KG)</t>
  </si>
  <si>
    <t xml:space="preserve">Cosecha </t>
  </si>
  <si>
    <t>LIMACHE/ QUILLOTA</t>
  </si>
  <si>
    <t>KG</t>
  </si>
  <si>
    <t>OCTUBRE Y MARZO</t>
  </si>
  <si>
    <t>Azufre Mojable</t>
  </si>
  <si>
    <t>Plantines tomate Alamina/ Kayser (injertado)</t>
  </si>
  <si>
    <t>ALAMINA</t>
  </si>
  <si>
    <t>MEDIO</t>
  </si>
  <si>
    <t xml:space="preserve">MANO DE OBRA COSECHA </t>
  </si>
  <si>
    <t>MANO DE OBRA SELECCIÓN/EMABALAJE</t>
  </si>
  <si>
    <t>PESTICIDAS</t>
  </si>
  <si>
    <t xml:space="preserve">PLANTAS INJERTADAS </t>
  </si>
  <si>
    <t xml:space="preserve"> Amortizacion ( 2 cultivos)  Fumigacion de suelo + colocacion mulch (tractor)*</t>
  </si>
  <si>
    <t>CUBIIERTA PLASTICA</t>
  </si>
  <si>
    <t xml:space="preserve">Nacilus </t>
  </si>
  <si>
    <t>Jabon potasico</t>
  </si>
  <si>
    <t>INSECTOS AUXILIARES</t>
  </si>
  <si>
    <r>
      <t xml:space="preserve">INSUMOS PARA </t>
    </r>
    <r>
      <rPr>
        <b/>
        <sz val="8"/>
        <color rgb="FF000000"/>
        <rFont val="Arial Narrow"/>
        <family val="2"/>
      </rPr>
      <t>MIP</t>
    </r>
  </si>
  <si>
    <t xml:space="preserve">Feromonas </t>
  </si>
  <si>
    <t>rollo 0,3 m x 100 m</t>
  </si>
  <si>
    <t>un</t>
  </si>
  <si>
    <t>PRECIO ESPERADO ($/Kg)</t>
  </si>
  <si>
    <t>unidad</t>
  </si>
  <si>
    <t>Ventanas 2 temporadas 0,15 mic (amortizado en 3 cultivos)</t>
  </si>
  <si>
    <t xml:space="preserve">Lucarnas 0,10 mc (amortizado en 2 cultivo) </t>
  </si>
  <si>
    <t>unidades</t>
  </si>
  <si>
    <t>Rollo Malla raschell negra 50%. 2,10x100 mt (amortizado en 8 cultivos)</t>
  </si>
  <si>
    <t>RIEGO</t>
  </si>
  <si>
    <t>global</t>
  </si>
  <si>
    <t>Profundizacion pozos  (amortizado en 8 cultivos)</t>
  </si>
  <si>
    <t>Diciembre</t>
  </si>
  <si>
    <t xml:space="preserve">Amortización (2 cultivos) Preparación de suelo (Rastra + Tiller + mesero) </t>
  </si>
  <si>
    <t>Colmena Abejorros</t>
  </si>
  <si>
    <t>Junio-julio</t>
  </si>
  <si>
    <t>lt</t>
  </si>
  <si>
    <t>oct-dic</t>
  </si>
  <si>
    <t>Amortizacion ( 3 cultivos) Instalación de cubierta plástica y malla antiafido</t>
  </si>
  <si>
    <t>PREPARACIÓN DE INVERNADEROS</t>
  </si>
  <si>
    <t xml:space="preserve">Cinta de riego 20 cm (amortizada en 2 cultivos) </t>
  </si>
  <si>
    <t>Amortización (3 cultivos)Polietileno 2 T 4 m  x 150 micrones</t>
  </si>
  <si>
    <t>Canaleta 2 temporadas 200 micrones (amortizado en 3 cultivos)</t>
  </si>
  <si>
    <t>Cortinas 2 temporadas 150 micrones  (amortizado en 3  cultivos)</t>
  </si>
  <si>
    <t xml:space="preserve">Selección embalaje </t>
  </si>
  <si>
    <t>MANO DE OBRA LABORES DEL CULTIVO</t>
  </si>
  <si>
    <t>Rollo Malla antiafidos 20/10 2 mtX100 mt (amortizado en 8 cultivos)</t>
  </si>
  <si>
    <t xml:space="preserve">Doble Techo 1 temporada 4 mt x 40 micrones (amortizado en 2 cultivos) </t>
  </si>
  <si>
    <t>Mulch negro-blanco  2 temporadas 1,2 m x 20 micrones x 1000 metros (amortizado en 2 cultivos)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</si>
</sst>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9"/>
      <name val="Arial Narrow"/>
      <family val="2"/>
    </font>
    <font>
      <b/>
      <sz val="8"/>
      <color rgb="FF000000"/>
      <name val="Arial Narrow"/>
      <family val="2"/>
    </font>
    <font>
      <sz val="8"/>
      <name val="Calibri"/>
      <family val="2"/>
    </font>
    <font>
      <sz val="9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 applyNumberFormat="0" applyFill="0" applyBorder="0" applyProtection="0"/>
    <xf numFmtId="0" fontId="18" fillId="0" borderId="20"/>
    <xf numFmtId="0" fontId="21" fillId="0" borderId="20" applyNumberFormat="0" applyFill="0" applyBorder="0" applyProtection="0"/>
    <xf numFmtId="41" fontId="21" fillId="0" borderId="20" applyFont="0" applyFill="0" applyBorder="0" applyAlignment="0" applyProtection="0"/>
    <xf numFmtId="9" fontId="21" fillId="0" borderId="20" applyFont="0" applyFill="0" applyBorder="0" applyAlignment="0" applyProtection="0"/>
  </cellStyleXfs>
  <cellXfs count="22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 applyAlignment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 applyAlignment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 applyAlignment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0" fontId="14" fillId="2" borderId="48" xfId="0" applyFont="1" applyFill="1" applyBorder="1" applyAlignment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1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 vertical="center" wrapText="1"/>
    </xf>
    <xf numFmtId="0" fontId="4" fillId="2" borderId="51" xfId="0" applyNumberFormat="1" applyFont="1" applyFill="1" applyBorder="1" applyAlignment="1">
      <alignment horizontal="center"/>
    </xf>
    <xf numFmtId="3" fontId="4" fillId="2" borderId="51" xfId="0" applyNumberFormat="1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 vertical="center" wrapText="1"/>
    </xf>
    <xf numFmtId="49" fontId="4" fillId="2" borderId="5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/>
    <xf numFmtId="0" fontId="2" fillId="2" borderId="54" xfId="0" applyFont="1" applyFill="1" applyBorder="1" applyAlignment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 applyAlignment="1"/>
    <xf numFmtId="3" fontId="2" fillId="2" borderId="54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vertical="center"/>
    </xf>
    <xf numFmtId="3" fontId="12" fillId="7" borderId="50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17" fontId="19" fillId="0" borderId="58" xfId="1" applyNumberFormat="1" applyFont="1" applyBorder="1" applyAlignment="1">
      <alignment horizontal="right" vertical="center"/>
    </xf>
    <xf numFmtId="49" fontId="20" fillId="2" borderId="51" xfId="0" applyNumberFormat="1" applyFont="1" applyFill="1" applyBorder="1" applyAlignment="1">
      <alignment horizontal="left" vertical="center" wrapText="1"/>
    </xf>
    <xf numFmtId="49" fontId="20" fillId="2" borderId="51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20" fillId="2" borderId="6" xfId="0" applyNumberFormat="1" applyFont="1" applyFill="1" applyBorder="1" applyAlignment="1">
      <alignment wrapText="1"/>
    </xf>
    <xf numFmtId="0" fontId="23" fillId="9" borderId="58" xfId="2" applyFont="1" applyFill="1" applyBorder="1" applyAlignment="1">
      <alignment horizontal="center" vertical="center"/>
    </xf>
    <xf numFmtId="3" fontId="23" fillId="9" borderId="58" xfId="2" applyNumberFormat="1" applyFont="1" applyFill="1" applyBorder="1" applyAlignment="1">
      <alignment horizontal="center" vertical="center"/>
    </xf>
    <xf numFmtId="3" fontId="23" fillId="0" borderId="58" xfId="2" applyNumberFormat="1" applyFont="1" applyBorder="1" applyAlignment="1">
      <alignment horizontal="center" vertical="center"/>
    </xf>
    <xf numFmtId="0" fontId="23" fillId="9" borderId="58" xfId="2" applyFont="1" applyFill="1" applyBorder="1" applyAlignment="1">
      <alignment horizontal="left" vertical="center" wrapText="1"/>
    </xf>
    <xf numFmtId="0" fontId="23" fillId="9" borderId="58" xfId="2" applyFont="1" applyFill="1" applyBorder="1" applyAlignment="1">
      <alignment vertical="center" wrapText="1"/>
    </xf>
    <xf numFmtId="0" fontId="23" fillId="9" borderId="59" xfId="2" applyFont="1" applyFill="1" applyBorder="1" applyAlignment="1">
      <alignment horizontal="center" vertical="center"/>
    </xf>
    <xf numFmtId="0" fontId="0" fillId="9" borderId="22" xfId="0" applyFont="1" applyFill="1" applyBorder="1" applyAlignment="1"/>
    <xf numFmtId="0" fontId="0" fillId="9" borderId="0" xfId="0" applyNumberFormat="1" applyFont="1" applyFill="1" applyAlignment="1"/>
    <xf numFmtId="0" fontId="0" fillId="9" borderId="0" xfId="0" applyFont="1" applyFill="1" applyAlignment="1"/>
    <xf numFmtId="49" fontId="20" fillId="9" borderId="51" xfId="0" applyNumberFormat="1" applyFont="1" applyFill="1" applyBorder="1" applyAlignment="1">
      <alignment horizontal="left" vertical="center" wrapText="1"/>
    </xf>
    <xf numFmtId="49" fontId="4" fillId="9" borderId="6" xfId="0" applyNumberFormat="1" applyFont="1" applyFill="1" applyBorder="1" applyAlignment="1">
      <alignment horizontal="right" vertical="center"/>
    </xf>
    <xf numFmtId="49" fontId="24" fillId="2" borderId="51" xfId="0" applyNumberFormat="1" applyFont="1" applyFill="1" applyBorder="1" applyAlignment="1">
      <alignment horizontal="left"/>
    </xf>
    <xf numFmtId="3" fontId="25" fillId="9" borderId="58" xfId="2" applyNumberFormat="1" applyFont="1" applyFill="1" applyBorder="1" applyAlignment="1">
      <alignment horizontal="center" vertical="center"/>
    </xf>
    <xf numFmtId="49" fontId="7" fillId="3" borderId="19" xfId="0" applyNumberFormat="1" applyFont="1" applyFill="1" applyBorder="1" applyAlignment="1">
      <alignment vertical="center"/>
    </xf>
    <xf numFmtId="49" fontId="4" fillId="9" borderId="6" xfId="0" applyNumberFormat="1" applyFont="1" applyFill="1" applyBorder="1" applyAlignment="1">
      <alignment horizontal="right"/>
    </xf>
    <xf numFmtId="49" fontId="4" fillId="9" borderId="6" xfId="0" applyNumberFormat="1" applyFont="1" applyFill="1" applyBorder="1" applyAlignment="1">
      <alignment horizontal="right" wrapText="1"/>
    </xf>
    <xf numFmtId="49" fontId="4" fillId="10" borderId="51" xfId="0" applyNumberFormat="1" applyFont="1" applyFill="1" applyBorder="1" applyAlignment="1">
      <alignment horizontal="center" vertical="center" wrapText="1"/>
    </xf>
    <xf numFmtId="49" fontId="4" fillId="10" borderId="51" xfId="0" applyNumberFormat="1" applyFont="1" applyFill="1" applyBorder="1" applyAlignment="1">
      <alignment horizontal="center" vertical="center"/>
    </xf>
    <xf numFmtId="0" fontId="4" fillId="10" borderId="51" xfId="0" applyNumberFormat="1" applyFont="1" applyFill="1" applyBorder="1" applyAlignment="1">
      <alignment horizontal="center" vertical="center"/>
    </xf>
    <xf numFmtId="49" fontId="4" fillId="10" borderId="51" xfId="0" applyNumberFormat="1" applyFont="1" applyFill="1" applyBorder="1" applyAlignment="1">
      <alignment horizontal="center"/>
    </xf>
    <xf numFmtId="3" fontId="4" fillId="10" borderId="51" xfId="0" applyNumberFormat="1" applyFont="1" applyFill="1" applyBorder="1" applyAlignment="1">
      <alignment horizontal="center" vertical="center"/>
    </xf>
    <xf numFmtId="49" fontId="4" fillId="10" borderId="51" xfId="0" applyNumberFormat="1" applyFont="1" applyFill="1" applyBorder="1" applyAlignment="1">
      <alignment horizontal="left" vertical="center" wrapText="1"/>
    </xf>
    <xf numFmtId="0" fontId="4" fillId="10" borderId="51" xfId="0" applyNumberFormat="1" applyFont="1" applyFill="1" applyBorder="1" applyAlignment="1">
      <alignment horizontal="center"/>
    </xf>
    <xf numFmtId="3" fontId="4" fillId="10" borderId="51" xfId="0" applyNumberFormat="1" applyFont="1" applyFill="1" applyBorder="1" applyAlignment="1">
      <alignment horizontal="center"/>
    </xf>
    <xf numFmtId="49" fontId="4" fillId="10" borderId="51" xfId="0" applyNumberFormat="1" applyFont="1" applyFill="1" applyBorder="1" applyAlignment="1">
      <alignment horizontal="left" wrapText="1"/>
    </xf>
    <xf numFmtId="49" fontId="4" fillId="10" borderId="51" xfId="0" applyNumberFormat="1" applyFont="1" applyFill="1" applyBorder="1" applyAlignment="1">
      <alignment horizontal="left"/>
    </xf>
    <xf numFmtId="49" fontId="4" fillId="9" borderId="51" xfId="0" applyNumberFormat="1" applyFont="1" applyFill="1" applyBorder="1" applyAlignment="1">
      <alignment horizontal="center" vertical="center"/>
    </xf>
    <xf numFmtId="0" fontId="4" fillId="9" borderId="51" xfId="0" applyNumberFormat="1" applyFont="1" applyFill="1" applyBorder="1" applyAlignment="1">
      <alignment horizontal="center" vertical="center"/>
    </xf>
    <xf numFmtId="3" fontId="4" fillId="9" borderId="51" xfId="0" applyNumberFormat="1" applyFont="1" applyFill="1" applyBorder="1" applyAlignment="1">
      <alignment horizontal="center" vertical="center"/>
    </xf>
    <xf numFmtId="0" fontId="25" fillId="9" borderId="58" xfId="2" applyFont="1" applyFill="1" applyBorder="1" applyAlignment="1">
      <alignment horizontal="center" vertical="center"/>
    </xf>
    <xf numFmtId="49" fontId="23" fillId="2" borderId="51" xfId="0" applyNumberFormat="1" applyFont="1" applyFill="1" applyBorder="1" applyAlignment="1">
      <alignment horizontal="left"/>
    </xf>
    <xf numFmtId="49" fontId="23" fillId="2" borderId="51" xfId="0" applyNumberFormat="1" applyFont="1" applyFill="1" applyBorder="1" applyAlignment="1">
      <alignment horizontal="center"/>
    </xf>
    <xf numFmtId="0" fontId="23" fillId="2" borderId="51" xfId="0" applyNumberFormat="1" applyFont="1" applyFill="1" applyBorder="1" applyAlignment="1">
      <alignment horizontal="center"/>
    </xf>
    <xf numFmtId="3" fontId="23" fillId="2" borderId="51" xfId="0" applyNumberFormat="1" applyFont="1" applyFill="1" applyBorder="1" applyAlignment="1">
      <alignment horizontal="center"/>
    </xf>
    <xf numFmtId="0" fontId="23" fillId="10" borderId="58" xfId="2" applyFont="1" applyFill="1" applyBorder="1" applyAlignment="1">
      <alignment horizontal="center" vertical="center"/>
    </xf>
    <xf numFmtId="3" fontId="23" fillId="10" borderId="58" xfId="2" applyNumberFormat="1" applyFont="1" applyFill="1" applyBorder="1" applyAlignment="1">
      <alignment horizontal="center" vertical="center"/>
    </xf>
    <xf numFmtId="49" fontId="4" fillId="10" borderId="6" xfId="0" applyNumberFormat="1" applyFont="1" applyFill="1" applyBorder="1" applyAlignment="1">
      <alignment horizontal="center" vertical="center" wrapText="1"/>
    </xf>
    <xf numFmtId="0" fontId="4" fillId="10" borderId="6" xfId="0" applyNumberFormat="1" applyFont="1" applyFill="1" applyBorder="1" applyAlignment="1">
      <alignment horizontal="center" vertical="center" wrapText="1"/>
    </xf>
    <xf numFmtId="3" fontId="4" fillId="10" borderId="6" xfId="0" applyNumberFormat="1" applyFont="1" applyFill="1" applyBorder="1" applyAlignment="1">
      <alignment horizontal="center" vertical="center" wrapText="1"/>
    </xf>
    <xf numFmtId="49" fontId="23" fillId="10" borderId="6" xfId="0" applyNumberFormat="1" applyFont="1" applyFill="1" applyBorder="1" applyAlignment="1">
      <alignment horizontal="center" vertical="center" wrapText="1"/>
    </xf>
    <xf numFmtId="0" fontId="23" fillId="10" borderId="6" xfId="0" applyNumberFormat="1" applyFont="1" applyFill="1" applyBorder="1" applyAlignment="1">
      <alignment horizontal="center" vertical="center" wrapText="1"/>
    </xf>
    <xf numFmtId="3" fontId="23" fillId="10" borderId="6" xfId="0" applyNumberFormat="1" applyFont="1" applyFill="1" applyBorder="1" applyAlignment="1">
      <alignment horizontal="center" vertical="center" wrapText="1"/>
    </xf>
    <xf numFmtId="49" fontId="22" fillId="10" borderId="6" xfId="0" applyNumberFormat="1" applyFont="1" applyFill="1" applyBorder="1" applyAlignment="1">
      <alignment wrapText="1"/>
    </xf>
    <xf numFmtId="49" fontId="23" fillId="10" borderId="6" xfId="0" applyNumberFormat="1" applyFont="1" applyFill="1" applyBorder="1" applyAlignment="1">
      <alignment horizontal="center" wrapText="1"/>
    </xf>
    <xf numFmtId="0" fontId="23" fillId="10" borderId="6" xfId="0" applyNumberFormat="1" applyFont="1" applyFill="1" applyBorder="1" applyAlignment="1">
      <alignment horizontal="center" wrapText="1"/>
    </xf>
    <xf numFmtId="3" fontId="23" fillId="10" borderId="6" xfId="0" applyNumberFormat="1" applyFont="1" applyFill="1" applyBorder="1" applyAlignment="1">
      <alignment horizontal="center" wrapText="1"/>
    </xf>
    <xf numFmtId="49" fontId="23" fillId="10" borderId="6" xfId="0" applyNumberFormat="1" applyFont="1" applyFill="1" applyBorder="1" applyAlignment="1">
      <alignment wrapText="1"/>
    </xf>
    <xf numFmtId="1" fontId="23" fillId="10" borderId="6" xfId="0" applyNumberFormat="1" applyFont="1" applyFill="1" applyBorder="1" applyAlignment="1">
      <alignment horizontal="center" wrapText="1"/>
    </xf>
    <xf numFmtId="3" fontId="4" fillId="10" borderId="6" xfId="0" applyNumberFormat="1" applyFont="1" applyFill="1" applyBorder="1" applyAlignment="1">
      <alignment horizontal="right"/>
    </xf>
    <xf numFmtId="166" fontId="4" fillId="10" borderId="6" xfId="0" applyNumberFormat="1" applyFont="1" applyFill="1" applyBorder="1" applyAlignment="1">
      <alignment horizontal="right"/>
    </xf>
    <xf numFmtId="166" fontId="4" fillId="10" borderId="6" xfId="0" applyNumberFormat="1" applyFont="1" applyFill="1" applyBorder="1" applyAlignment="1">
      <alignment horizontal="right" wrapText="1"/>
    </xf>
    <xf numFmtId="1" fontId="4" fillId="10" borderId="51" xfId="0" applyNumberFormat="1" applyFont="1" applyFill="1" applyBorder="1" applyAlignment="1">
      <alignment horizontal="center"/>
    </xf>
    <xf numFmtId="49" fontId="4" fillId="10" borderId="6" xfId="0" applyNumberFormat="1" applyFont="1" applyFill="1" applyBorder="1" applyAlignment="1">
      <alignment vertical="center" wrapText="1"/>
    </xf>
    <xf numFmtId="49" fontId="23" fillId="10" borderId="51" xfId="0" applyNumberFormat="1" applyFont="1" applyFill="1" applyBorder="1" applyAlignment="1">
      <alignment horizontal="left"/>
    </xf>
    <xf numFmtId="49" fontId="23" fillId="10" borderId="51" xfId="0" applyNumberFormat="1" applyFont="1" applyFill="1" applyBorder="1" applyAlignment="1">
      <alignment horizontal="center"/>
    </xf>
    <xf numFmtId="0" fontId="23" fillId="10" borderId="51" xfId="0" applyNumberFormat="1" applyFont="1" applyFill="1" applyBorder="1" applyAlignment="1">
      <alignment horizontal="center"/>
    </xf>
    <xf numFmtId="3" fontId="23" fillId="10" borderId="51" xfId="0" applyNumberFormat="1" applyFont="1" applyFill="1" applyBorder="1" applyAlignment="1">
      <alignment horizontal="center"/>
    </xf>
    <xf numFmtId="49" fontId="22" fillId="10" borderId="51" xfId="0" applyNumberFormat="1" applyFont="1" applyFill="1" applyBorder="1" applyAlignment="1">
      <alignment horizontal="left"/>
    </xf>
    <xf numFmtId="164" fontId="12" fillId="7" borderId="36" xfId="0" applyNumberFormat="1" applyFont="1" applyFill="1" applyBorder="1" applyAlignment="1">
      <alignment vertical="center"/>
    </xf>
    <xf numFmtId="0" fontId="23" fillId="9" borderId="59" xfId="2" applyFont="1" applyFill="1" applyBorder="1" applyAlignment="1">
      <alignment horizontal="center" vertical="center" wrapText="1"/>
    </xf>
    <xf numFmtId="49" fontId="23" fillId="10" borderId="6" xfId="0" applyNumberFormat="1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  <xf numFmtId="49" fontId="11" fillId="2" borderId="5" xfId="0" applyNumberFormat="1" applyFont="1" applyFill="1" applyBorder="1" applyAlignment="1">
      <alignment vertical="center" wrapText="1"/>
    </xf>
    <xf numFmtId="49" fontId="11" fillId="9" borderId="6" xfId="0" applyNumberFormat="1" applyFont="1" applyFill="1" applyBorder="1" applyAlignment="1">
      <alignment horizontal="right" vertical="center"/>
    </xf>
    <xf numFmtId="49" fontId="11" fillId="2" borderId="6" xfId="0" applyNumberFormat="1" applyFont="1" applyFill="1" applyBorder="1" applyAlignment="1">
      <alignment wrapText="1"/>
    </xf>
    <xf numFmtId="0" fontId="11" fillId="2" borderId="6" xfId="0" applyFont="1" applyFill="1" applyBorder="1" applyAlignment="1">
      <alignment wrapText="1"/>
    </xf>
    <xf numFmtId="49" fontId="11" fillId="9" borderId="6" xfId="0" applyNumberFormat="1" applyFont="1" applyFill="1" applyBorder="1" applyAlignment="1">
      <alignment horizontal="right"/>
    </xf>
    <xf numFmtId="166" fontId="11" fillId="10" borderId="6" xfId="0" applyNumberFormat="1" applyFont="1" applyFill="1" applyBorder="1" applyAlignment="1">
      <alignment horizontal="right"/>
    </xf>
    <xf numFmtId="49" fontId="11" fillId="2" borderId="6" xfId="0" applyNumberFormat="1" applyFont="1" applyFill="1" applyBorder="1" applyAlignment="1">
      <alignment horizontal="right" vertical="center"/>
    </xf>
    <xf numFmtId="49" fontId="11" fillId="2" borderId="6" xfId="0" applyNumberFormat="1" applyFont="1" applyFill="1" applyBorder="1" applyAlignment="1"/>
    <xf numFmtId="0" fontId="11" fillId="2" borderId="6" xfId="0" applyFont="1" applyFill="1" applyBorder="1" applyAlignment="1"/>
    <xf numFmtId="166" fontId="11" fillId="10" borderId="6" xfId="0" applyNumberFormat="1" applyFont="1" applyFill="1" applyBorder="1" applyAlignment="1">
      <alignment horizontal="right" wrapText="1"/>
    </xf>
    <xf numFmtId="17" fontId="28" fillId="0" borderId="58" xfId="1" applyNumberFormat="1" applyFont="1" applyBorder="1" applyAlignment="1">
      <alignment horizontal="right" vertical="center"/>
    </xf>
    <xf numFmtId="49" fontId="11" fillId="2" borderId="6" xfId="0" applyNumberFormat="1" applyFont="1" applyFill="1" applyBorder="1" applyAlignment="1"/>
    <xf numFmtId="0" fontId="11" fillId="2" borderId="6" xfId="0" applyFont="1" applyFill="1" applyBorder="1" applyAlignment="1"/>
    <xf numFmtId="49" fontId="11" fillId="9" borderId="6" xfId="0" applyNumberFormat="1" applyFont="1" applyFill="1" applyBorder="1" applyAlignment="1">
      <alignment horizontal="right" wrapText="1"/>
    </xf>
  </cellXfs>
  <cellStyles count="5">
    <cellStyle name="Millares [0] 2" xfId="3"/>
    <cellStyle name="Normal" xfId="0" builtinId="0"/>
    <cellStyle name="Normal 2" xfId="1"/>
    <cellStyle name="Normal 3" xfId="2"/>
    <cellStyle name="Porcentaje 2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542924</xdr:colOff>
      <xdr:row>7</xdr:row>
      <xdr:rowOff>56849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715137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Z150"/>
  <sheetViews>
    <sheetView showGridLines="0" topLeftCell="B99" zoomScale="110" zoomScaleNormal="110" zoomScaleSheetLayoutView="100" workbookViewId="0">
      <selection activeCell="C126" sqref="C126"/>
    </sheetView>
  </sheetViews>
  <sheetFormatPr baseColWidth="10" defaultColWidth="10.88671875" defaultRowHeight="11.25" customHeight="1" x14ac:dyDescent="0.3"/>
  <cols>
    <col min="1" max="1" width="15.5546875" style="1" customWidth="1"/>
    <col min="2" max="2" width="21.33203125" style="1" customWidth="1"/>
    <col min="3" max="3" width="17" style="1" customWidth="1"/>
    <col min="4" max="4" width="14.88671875" style="1" customWidth="1"/>
    <col min="5" max="5" width="14.44140625" style="1" customWidth="1"/>
    <col min="6" max="6" width="18.6640625" style="1" customWidth="1"/>
    <col min="7" max="7" width="17.109375" style="113" customWidth="1"/>
    <col min="8" max="234" width="10.88671875" style="1" customWidth="1"/>
  </cols>
  <sheetData>
    <row r="1" spans="1:7" ht="15" customHeight="1" x14ac:dyDescent="0.3">
      <c r="A1" s="2"/>
      <c r="B1" s="2"/>
      <c r="C1" s="2"/>
      <c r="D1" s="2"/>
      <c r="E1" s="2"/>
      <c r="F1" s="2"/>
      <c r="G1" s="100"/>
    </row>
    <row r="2" spans="1:7" ht="15" customHeight="1" x14ac:dyDescent="0.3">
      <c r="A2" s="2"/>
      <c r="B2" s="2"/>
      <c r="C2" s="2"/>
      <c r="D2" s="2"/>
      <c r="E2" s="2"/>
      <c r="F2" s="2"/>
      <c r="G2" s="100"/>
    </row>
    <row r="3" spans="1:7" ht="15" customHeight="1" x14ac:dyDescent="0.3">
      <c r="A3" s="2"/>
      <c r="B3" s="2"/>
      <c r="C3" s="2"/>
      <c r="D3" s="2"/>
      <c r="E3" s="2"/>
      <c r="F3" s="2"/>
      <c r="G3" s="100"/>
    </row>
    <row r="4" spans="1:7" ht="15" customHeight="1" x14ac:dyDescent="0.3">
      <c r="A4" s="2"/>
      <c r="B4" s="2"/>
      <c r="C4" s="2"/>
      <c r="D4" s="2"/>
      <c r="E4" s="2"/>
      <c r="F4" s="2"/>
      <c r="G4" s="100"/>
    </row>
    <row r="5" spans="1:7" ht="15" customHeight="1" x14ac:dyDescent="0.3">
      <c r="A5" s="2"/>
      <c r="B5" s="2"/>
      <c r="C5" s="2"/>
      <c r="D5" s="2"/>
      <c r="E5" s="2"/>
      <c r="F5" s="2"/>
      <c r="G5" s="100"/>
    </row>
    <row r="6" spans="1:7" ht="15" customHeight="1" x14ac:dyDescent="0.3">
      <c r="A6" s="2"/>
      <c r="B6" s="2"/>
      <c r="C6" s="2"/>
      <c r="D6" s="2"/>
      <c r="E6" s="2"/>
      <c r="F6" s="2"/>
      <c r="G6" s="100"/>
    </row>
    <row r="7" spans="1:7" ht="15" customHeight="1" x14ac:dyDescent="0.3">
      <c r="A7" s="2"/>
      <c r="B7" s="2"/>
      <c r="C7" s="2"/>
      <c r="D7" s="2"/>
      <c r="E7" s="2"/>
      <c r="F7" s="2"/>
      <c r="G7" s="100"/>
    </row>
    <row r="8" spans="1:7" ht="15" customHeight="1" x14ac:dyDescent="0.3">
      <c r="A8" s="2"/>
      <c r="B8" s="3"/>
      <c r="C8" s="4"/>
      <c r="D8" s="2"/>
      <c r="E8" s="4"/>
      <c r="F8" s="4"/>
      <c r="G8" s="101"/>
    </row>
    <row r="9" spans="1:7" ht="12" customHeight="1" x14ac:dyDescent="0.3">
      <c r="A9" s="5"/>
      <c r="B9" s="6" t="s">
        <v>0</v>
      </c>
      <c r="C9" s="137" t="s">
        <v>63</v>
      </c>
      <c r="D9" s="7"/>
      <c r="E9" s="201" t="s">
        <v>65</v>
      </c>
      <c r="F9" s="202"/>
      <c r="G9" s="188">
        <v>125000</v>
      </c>
    </row>
    <row r="10" spans="1:7" ht="18" customHeight="1" x14ac:dyDescent="0.3">
      <c r="A10" s="5"/>
      <c r="B10" s="8" t="s">
        <v>1</v>
      </c>
      <c r="C10" s="150" t="s">
        <v>146</v>
      </c>
      <c r="D10" s="9"/>
      <c r="E10" s="203" t="s">
        <v>2</v>
      </c>
      <c r="F10" s="204"/>
      <c r="G10" s="154" t="s">
        <v>126</v>
      </c>
    </row>
    <row r="11" spans="1:7" ht="18" customHeight="1" x14ac:dyDescent="0.3">
      <c r="A11" s="5"/>
      <c r="B11" s="8" t="s">
        <v>3</v>
      </c>
      <c r="C11" s="150" t="s">
        <v>147</v>
      </c>
      <c r="D11" s="9"/>
      <c r="E11" s="203" t="s">
        <v>161</v>
      </c>
      <c r="F11" s="204"/>
      <c r="G11" s="189">
        <v>400</v>
      </c>
    </row>
    <row r="12" spans="1:7" ht="11.25" customHeight="1" x14ac:dyDescent="0.3">
      <c r="A12" s="5"/>
      <c r="B12" s="8" t="s">
        <v>4</v>
      </c>
      <c r="C12" s="138" t="s">
        <v>64</v>
      </c>
      <c r="D12" s="9"/>
      <c r="E12" s="10" t="s">
        <v>5</v>
      </c>
      <c r="F12" s="11"/>
      <c r="G12" s="190">
        <f>G11*G9</f>
        <v>50000000</v>
      </c>
    </row>
    <row r="13" spans="1:7" ht="11.25" customHeight="1" x14ac:dyDescent="0.3">
      <c r="A13" s="5"/>
      <c r="B13" s="8" t="s">
        <v>6</v>
      </c>
      <c r="C13" s="138" t="s">
        <v>141</v>
      </c>
      <c r="D13" s="9"/>
      <c r="E13" s="203" t="s">
        <v>7</v>
      </c>
      <c r="F13" s="204"/>
      <c r="G13" s="154" t="s">
        <v>127</v>
      </c>
    </row>
    <row r="14" spans="1:7" ht="13.5" customHeight="1" x14ac:dyDescent="0.3">
      <c r="A14" s="5"/>
      <c r="B14" s="8" t="s">
        <v>8</v>
      </c>
      <c r="C14" s="138" t="s">
        <v>62</v>
      </c>
      <c r="D14" s="9"/>
      <c r="E14" s="203" t="s">
        <v>9</v>
      </c>
      <c r="F14" s="204"/>
      <c r="G14" s="154" t="s">
        <v>126</v>
      </c>
    </row>
    <row r="15" spans="1:7" ht="16.5" customHeight="1" x14ac:dyDescent="0.3">
      <c r="A15" s="5"/>
      <c r="B15" s="8" t="s">
        <v>10</v>
      </c>
      <c r="C15" s="134">
        <v>44562</v>
      </c>
      <c r="D15" s="9"/>
      <c r="E15" s="205" t="s">
        <v>11</v>
      </c>
      <c r="F15" s="206"/>
      <c r="G15" s="155" t="s">
        <v>128</v>
      </c>
    </row>
    <row r="16" spans="1:7" ht="12" customHeight="1" x14ac:dyDescent="0.3">
      <c r="A16" s="2"/>
      <c r="B16" s="12"/>
      <c r="C16" s="13"/>
      <c r="D16" s="14"/>
      <c r="E16" s="15"/>
      <c r="F16" s="15"/>
      <c r="G16" s="102"/>
    </row>
    <row r="17" spans="1:7" ht="12" customHeight="1" x14ac:dyDescent="0.3">
      <c r="A17" s="16"/>
      <c r="B17" s="207" t="s">
        <v>12</v>
      </c>
      <c r="C17" s="208"/>
      <c r="D17" s="208"/>
      <c r="E17" s="208"/>
      <c r="F17" s="208"/>
      <c r="G17" s="208"/>
    </row>
    <row r="18" spans="1:7" ht="12" customHeight="1" x14ac:dyDescent="0.3">
      <c r="A18" s="2"/>
      <c r="B18" s="17"/>
      <c r="C18" s="18"/>
      <c r="D18" s="18"/>
      <c r="E18" s="18"/>
      <c r="F18" s="19"/>
      <c r="G18" s="103"/>
    </row>
    <row r="19" spans="1:7" ht="12" customHeight="1" x14ac:dyDescent="0.3">
      <c r="A19" s="5"/>
      <c r="B19" s="20" t="s">
        <v>13</v>
      </c>
      <c r="C19" s="21"/>
      <c r="D19" s="22"/>
      <c r="E19" s="22"/>
      <c r="F19" s="22"/>
      <c r="G19" s="104"/>
    </row>
    <row r="20" spans="1:7" ht="24" customHeight="1" x14ac:dyDescent="0.3">
      <c r="A20" s="16"/>
      <c r="B20" s="23" t="s">
        <v>14</v>
      </c>
      <c r="C20" s="23" t="s">
        <v>15</v>
      </c>
      <c r="D20" s="23" t="s">
        <v>16</v>
      </c>
      <c r="E20" s="23" t="s">
        <v>17</v>
      </c>
      <c r="F20" s="23" t="s">
        <v>18</v>
      </c>
      <c r="G20" s="23" t="s">
        <v>19</v>
      </c>
    </row>
    <row r="21" spans="1:7" ht="27" customHeight="1" x14ac:dyDescent="0.3">
      <c r="A21" s="16"/>
      <c r="B21" s="139" t="s">
        <v>177</v>
      </c>
      <c r="C21" s="24"/>
      <c r="D21" s="93"/>
      <c r="E21" s="24"/>
      <c r="F21" s="125"/>
      <c r="G21" s="125"/>
    </row>
    <row r="22" spans="1:7" ht="25.5" customHeight="1" x14ac:dyDescent="0.3">
      <c r="A22" s="16"/>
      <c r="B22" s="179" t="s">
        <v>176</v>
      </c>
      <c r="C22" s="179" t="s">
        <v>20</v>
      </c>
      <c r="D22" s="180">
        <v>18</v>
      </c>
      <c r="E22" s="179" t="s">
        <v>66</v>
      </c>
      <c r="F22" s="181">
        <v>75000</v>
      </c>
      <c r="G22" s="181">
        <f>D22*F22/3</f>
        <v>450000</v>
      </c>
    </row>
    <row r="23" spans="1:7" ht="12.75" customHeight="1" x14ac:dyDescent="0.3">
      <c r="A23" s="16"/>
      <c r="B23" s="182" t="s">
        <v>183</v>
      </c>
      <c r="C23" s="183"/>
      <c r="D23" s="184"/>
      <c r="E23" s="183"/>
      <c r="F23" s="185"/>
      <c r="G23" s="185"/>
    </row>
    <row r="24" spans="1:7" ht="12.75" customHeight="1" x14ac:dyDescent="0.3">
      <c r="A24" s="16"/>
      <c r="B24" s="186" t="s">
        <v>68</v>
      </c>
      <c r="C24" s="183" t="s">
        <v>20</v>
      </c>
      <c r="D24" s="184">
        <v>12</v>
      </c>
      <c r="E24" s="183" t="s">
        <v>69</v>
      </c>
      <c r="F24" s="185">
        <v>27000</v>
      </c>
      <c r="G24" s="185">
        <f t="shared" ref="G24:G29" si="0">D24*F24</f>
        <v>324000</v>
      </c>
    </row>
    <row r="25" spans="1:7" ht="12.75" customHeight="1" x14ac:dyDescent="0.3">
      <c r="A25" s="16"/>
      <c r="B25" s="186" t="s">
        <v>70</v>
      </c>
      <c r="C25" s="200" t="s">
        <v>20</v>
      </c>
      <c r="D25" s="184">
        <v>3</v>
      </c>
      <c r="E25" s="183" t="s">
        <v>69</v>
      </c>
      <c r="F25" s="185">
        <v>27000</v>
      </c>
      <c r="G25" s="185">
        <f t="shared" si="0"/>
        <v>81000</v>
      </c>
    </row>
    <row r="26" spans="1:7" ht="12.75" customHeight="1" x14ac:dyDescent="0.3">
      <c r="A26" s="16"/>
      <c r="B26" s="186" t="s">
        <v>71</v>
      </c>
      <c r="C26" s="183" t="s">
        <v>20</v>
      </c>
      <c r="D26" s="184">
        <v>0.5</v>
      </c>
      <c r="E26" s="183" t="s">
        <v>69</v>
      </c>
      <c r="F26" s="185">
        <v>27000</v>
      </c>
      <c r="G26" s="185">
        <f t="shared" si="0"/>
        <v>13500</v>
      </c>
    </row>
    <row r="27" spans="1:7" ht="12.75" customHeight="1" x14ac:dyDescent="0.3">
      <c r="A27" s="16"/>
      <c r="B27" s="186" t="s">
        <v>72</v>
      </c>
      <c r="C27" s="183" t="s">
        <v>20</v>
      </c>
      <c r="D27" s="184">
        <v>11</v>
      </c>
      <c r="E27" s="183" t="s">
        <v>73</v>
      </c>
      <c r="F27" s="185">
        <v>27000</v>
      </c>
      <c r="G27" s="185">
        <f t="shared" si="0"/>
        <v>297000</v>
      </c>
    </row>
    <row r="28" spans="1:7" ht="12.75" customHeight="1" x14ac:dyDescent="0.3">
      <c r="A28" s="16"/>
      <c r="B28" s="186" t="s">
        <v>74</v>
      </c>
      <c r="C28" s="183" t="s">
        <v>20</v>
      </c>
      <c r="D28" s="184">
        <v>3</v>
      </c>
      <c r="E28" s="183" t="s">
        <v>75</v>
      </c>
      <c r="F28" s="185">
        <v>27000</v>
      </c>
      <c r="G28" s="185">
        <f t="shared" si="0"/>
        <v>81000</v>
      </c>
    </row>
    <row r="29" spans="1:7" ht="12.75" customHeight="1" x14ac:dyDescent="0.3">
      <c r="A29" s="16"/>
      <c r="B29" s="186" t="s">
        <v>76</v>
      </c>
      <c r="C29" s="183" t="s">
        <v>20</v>
      </c>
      <c r="D29" s="184">
        <v>10</v>
      </c>
      <c r="E29" s="183" t="s">
        <v>77</v>
      </c>
      <c r="F29" s="185">
        <v>27000</v>
      </c>
      <c r="G29" s="185">
        <f t="shared" si="0"/>
        <v>270000</v>
      </c>
    </row>
    <row r="30" spans="1:7" ht="12.75" customHeight="1" x14ac:dyDescent="0.3">
      <c r="A30" s="16"/>
      <c r="B30" s="186" t="s">
        <v>78</v>
      </c>
      <c r="C30" s="183" t="s">
        <v>20</v>
      </c>
      <c r="D30" s="184">
        <v>12</v>
      </c>
      <c r="E30" s="183" t="s">
        <v>79</v>
      </c>
      <c r="F30" s="185">
        <v>27000</v>
      </c>
      <c r="G30" s="185">
        <f t="shared" ref="G30:G42" si="1">D30*F30</f>
        <v>324000</v>
      </c>
    </row>
    <row r="31" spans="1:7" ht="12.75" customHeight="1" x14ac:dyDescent="0.3">
      <c r="A31" s="16"/>
      <c r="B31" s="186" t="s">
        <v>80</v>
      </c>
      <c r="C31" s="183" t="s">
        <v>20</v>
      </c>
      <c r="D31" s="187">
        <v>250</v>
      </c>
      <c r="E31" s="183" t="s">
        <v>79</v>
      </c>
      <c r="F31" s="185">
        <v>27000</v>
      </c>
      <c r="G31" s="185">
        <f t="shared" si="1"/>
        <v>6750000</v>
      </c>
    </row>
    <row r="32" spans="1:7" ht="12.75" customHeight="1" x14ac:dyDescent="0.3">
      <c r="A32" s="16"/>
      <c r="B32" s="186" t="s">
        <v>81</v>
      </c>
      <c r="C32" s="183" t="s">
        <v>20</v>
      </c>
      <c r="D32" s="184">
        <v>25</v>
      </c>
      <c r="E32" s="183" t="s">
        <v>82</v>
      </c>
      <c r="F32" s="185">
        <v>27000</v>
      </c>
      <c r="G32" s="185">
        <f t="shared" si="1"/>
        <v>675000</v>
      </c>
    </row>
    <row r="33" spans="1:7" ht="12.75" customHeight="1" x14ac:dyDescent="0.3">
      <c r="A33" s="16"/>
      <c r="B33" s="186" t="s">
        <v>83</v>
      </c>
      <c r="C33" s="183" t="s">
        <v>20</v>
      </c>
      <c r="D33" s="184">
        <v>66.75</v>
      </c>
      <c r="E33" s="183" t="s">
        <v>84</v>
      </c>
      <c r="F33" s="185">
        <v>27000</v>
      </c>
      <c r="G33" s="185">
        <f t="shared" si="1"/>
        <v>1802250</v>
      </c>
    </row>
    <row r="34" spans="1:7" ht="12.75" customHeight="1" x14ac:dyDescent="0.3">
      <c r="A34" s="16"/>
      <c r="B34" s="186" t="s">
        <v>85</v>
      </c>
      <c r="C34" s="183" t="s">
        <v>20</v>
      </c>
      <c r="D34" s="187">
        <v>8.75</v>
      </c>
      <c r="E34" s="183" t="s">
        <v>84</v>
      </c>
      <c r="F34" s="185">
        <v>27000</v>
      </c>
      <c r="G34" s="185">
        <f t="shared" si="1"/>
        <v>236250</v>
      </c>
    </row>
    <row r="35" spans="1:7" ht="12.75" customHeight="1" x14ac:dyDescent="0.3">
      <c r="A35" s="16"/>
      <c r="B35" s="186" t="s">
        <v>86</v>
      </c>
      <c r="C35" s="183" t="s">
        <v>20</v>
      </c>
      <c r="D35" s="184">
        <v>4</v>
      </c>
      <c r="E35" s="183" t="s">
        <v>61</v>
      </c>
      <c r="F35" s="185">
        <v>27000</v>
      </c>
      <c r="G35" s="185">
        <f t="shared" si="1"/>
        <v>108000</v>
      </c>
    </row>
    <row r="36" spans="1:7" ht="12.75" customHeight="1" x14ac:dyDescent="0.3">
      <c r="A36" s="16"/>
      <c r="B36" s="186" t="s">
        <v>87</v>
      </c>
      <c r="C36" s="183" t="s">
        <v>20</v>
      </c>
      <c r="D36" s="184">
        <v>12</v>
      </c>
      <c r="E36" s="183" t="s">
        <v>84</v>
      </c>
      <c r="F36" s="185">
        <v>27000</v>
      </c>
      <c r="G36" s="185">
        <f t="shared" si="1"/>
        <v>324000</v>
      </c>
    </row>
    <row r="37" spans="1:7" ht="12.75" customHeight="1" x14ac:dyDescent="0.3">
      <c r="A37" s="16"/>
      <c r="B37" s="186" t="s">
        <v>88</v>
      </c>
      <c r="C37" s="183" t="s">
        <v>20</v>
      </c>
      <c r="D37" s="187">
        <v>24</v>
      </c>
      <c r="E37" s="183" t="s">
        <v>89</v>
      </c>
      <c r="F37" s="185">
        <v>27000</v>
      </c>
      <c r="G37" s="185">
        <f t="shared" si="1"/>
        <v>648000</v>
      </c>
    </row>
    <row r="38" spans="1:7" ht="12.75" customHeight="1" x14ac:dyDescent="0.3">
      <c r="A38" s="16"/>
      <c r="B38" s="186" t="s">
        <v>90</v>
      </c>
      <c r="C38" s="183" t="s">
        <v>20</v>
      </c>
      <c r="D38" s="184">
        <v>15</v>
      </c>
      <c r="E38" s="183" t="s">
        <v>89</v>
      </c>
      <c r="F38" s="185">
        <v>27000</v>
      </c>
      <c r="G38" s="185">
        <f t="shared" si="1"/>
        <v>405000</v>
      </c>
    </row>
    <row r="39" spans="1:7" ht="12.75" customHeight="1" x14ac:dyDescent="0.3">
      <c r="A39" s="16"/>
      <c r="B39" s="182" t="s">
        <v>148</v>
      </c>
      <c r="C39" s="183"/>
      <c r="D39" s="184"/>
      <c r="E39" s="183"/>
      <c r="F39" s="185"/>
      <c r="G39" s="185"/>
    </row>
    <row r="40" spans="1:7" ht="12.75" customHeight="1" x14ac:dyDescent="0.3">
      <c r="A40" s="16"/>
      <c r="B40" s="186" t="s">
        <v>140</v>
      </c>
      <c r="C40" s="183" t="s">
        <v>20</v>
      </c>
      <c r="D40" s="184">
        <v>112</v>
      </c>
      <c r="E40" s="183" t="s">
        <v>175</v>
      </c>
      <c r="F40" s="185">
        <v>27000</v>
      </c>
      <c r="G40" s="185">
        <f t="shared" si="1"/>
        <v>3024000</v>
      </c>
    </row>
    <row r="41" spans="1:7" ht="27" customHeight="1" x14ac:dyDescent="0.3">
      <c r="A41" s="16"/>
      <c r="B41" s="182" t="s">
        <v>149</v>
      </c>
      <c r="C41" s="183"/>
      <c r="D41" s="184"/>
      <c r="E41" s="183"/>
      <c r="F41" s="185"/>
      <c r="G41" s="185"/>
    </row>
    <row r="42" spans="1:7" ht="12.75" customHeight="1" x14ac:dyDescent="0.3">
      <c r="A42" s="16"/>
      <c r="B42" s="186" t="s">
        <v>182</v>
      </c>
      <c r="C42" s="183" t="s">
        <v>20</v>
      </c>
      <c r="D42" s="184">
        <v>56</v>
      </c>
      <c r="E42" s="183" t="s">
        <v>175</v>
      </c>
      <c r="F42" s="185">
        <v>27000</v>
      </c>
      <c r="G42" s="185">
        <f t="shared" si="1"/>
        <v>1512000</v>
      </c>
    </row>
    <row r="43" spans="1:7" ht="12.75" customHeight="1" x14ac:dyDescent="0.3">
      <c r="A43" s="16"/>
      <c r="B43" s="25" t="s">
        <v>21</v>
      </c>
      <c r="C43" s="26"/>
      <c r="D43" s="26"/>
      <c r="E43" s="26"/>
      <c r="F43" s="27"/>
      <c r="G43" s="126">
        <f>SUM(G21:G42)</f>
        <v>17325000</v>
      </c>
    </row>
    <row r="44" spans="1:7" ht="12" customHeight="1" x14ac:dyDescent="0.3">
      <c r="A44" s="2"/>
      <c r="B44" s="17"/>
      <c r="C44" s="19"/>
      <c r="D44" s="19"/>
      <c r="E44" s="19"/>
      <c r="F44" s="28"/>
      <c r="G44" s="105"/>
    </row>
    <row r="45" spans="1:7" ht="12" customHeight="1" x14ac:dyDescent="0.3">
      <c r="A45" s="5"/>
      <c r="B45" s="29" t="s">
        <v>22</v>
      </c>
      <c r="C45" s="30"/>
      <c r="D45" s="31"/>
      <c r="E45" s="31"/>
      <c r="F45" s="32"/>
      <c r="G45" s="106"/>
    </row>
    <row r="46" spans="1:7" ht="24" customHeight="1" x14ac:dyDescent="0.3">
      <c r="A46" s="5"/>
      <c r="B46" s="33" t="s">
        <v>14</v>
      </c>
      <c r="C46" s="34" t="s">
        <v>15</v>
      </c>
      <c r="D46" s="34" t="s">
        <v>16</v>
      </c>
      <c r="E46" s="33" t="s">
        <v>57</v>
      </c>
      <c r="F46" s="34" t="s">
        <v>18</v>
      </c>
      <c r="G46" s="33" t="s">
        <v>19</v>
      </c>
    </row>
    <row r="47" spans="1:7" ht="12" customHeight="1" x14ac:dyDescent="0.3">
      <c r="A47" s="5"/>
      <c r="B47" s="35" t="s">
        <v>91</v>
      </c>
      <c r="C47" s="36" t="s">
        <v>91</v>
      </c>
      <c r="D47" s="36" t="s">
        <v>91</v>
      </c>
      <c r="E47" s="36" t="s">
        <v>91</v>
      </c>
      <c r="F47" s="92"/>
      <c r="G47" s="128"/>
    </row>
    <row r="48" spans="1:7" ht="12" customHeight="1" x14ac:dyDescent="0.3">
      <c r="A48" s="5"/>
      <c r="B48" s="37" t="s">
        <v>23</v>
      </c>
      <c r="C48" s="38"/>
      <c r="D48" s="38"/>
      <c r="E48" s="38"/>
      <c r="F48" s="39"/>
      <c r="G48" s="129"/>
    </row>
    <row r="49" spans="1:7" ht="12" customHeight="1" x14ac:dyDescent="0.3">
      <c r="A49" s="2"/>
      <c r="B49" s="40"/>
      <c r="C49" s="41"/>
      <c r="D49" s="41"/>
      <c r="E49" s="41"/>
      <c r="F49" s="42"/>
      <c r="G49" s="107"/>
    </row>
    <row r="50" spans="1:7" ht="12" customHeight="1" x14ac:dyDescent="0.3">
      <c r="A50" s="5"/>
      <c r="B50" s="29" t="s">
        <v>24</v>
      </c>
      <c r="C50" s="30"/>
      <c r="D50" s="31"/>
      <c r="E50" s="31"/>
      <c r="F50" s="32"/>
      <c r="G50" s="106"/>
    </row>
    <row r="51" spans="1:7" ht="24" customHeight="1" x14ac:dyDescent="0.3">
      <c r="A51" s="5"/>
      <c r="B51" s="43" t="s">
        <v>14</v>
      </c>
      <c r="C51" s="43" t="s">
        <v>15</v>
      </c>
      <c r="D51" s="43" t="s">
        <v>16</v>
      </c>
      <c r="E51" s="43" t="s">
        <v>17</v>
      </c>
      <c r="F51" s="44" t="s">
        <v>18</v>
      </c>
      <c r="G51" s="43" t="s">
        <v>19</v>
      </c>
    </row>
    <row r="52" spans="1:7" ht="30" customHeight="1" x14ac:dyDescent="0.3">
      <c r="A52" s="16"/>
      <c r="B52" s="192" t="s">
        <v>171</v>
      </c>
      <c r="C52" s="176" t="s">
        <v>92</v>
      </c>
      <c r="D52" s="177">
        <v>1.61</v>
      </c>
      <c r="E52" s="176" t="s">
        <v>73</v>
      </c>
      <c r="F52" s="178">
        <v>176000</v>
      </c>
      <c r="G52" s="178">
        <f>F52*D52</f>
        <v>283360</v>
      </c>
    </row>
    <row r="53" spans="1:7" ht="36.75" customHeight="1" x14ac:dyDescent="0.3">
      <c r="A53" s="16"/>
      <c r="B53" s="176" t="s">
        <v>152</v>
      </c>
      <c r="C53" s="176" t="s">
        <v>93</v>
      </c>
      <c r="D53" s="177">
        <v>5.12</v>
      </c>
      <c r="E53" s="176" t="s">
        <v>73</v>
      </c>
      <c r="F53" s="178">
        <v>176000</v>
      </c>
      <c r="G53" s="178">
        <f>F53*D53</f>
        <v>901120</v>
      </c>
    </row>
    <row r="54" spans="1:7" ht="12.75" customHeight="1" x14ac:dyDescent="0.3">
      <c r="A54" s="5"/>
      <c r="B54" s="45" t="s">
        <v>25</v>
      </c>
      <c r="C54" s="46"/>
      <c r="D54" s="46"/>
      <c r="E54" s="46"/>
      <c r="F54" s="46"/>
      <c r="G54" s="127">
        <f>SUM(G52:G53)</f>
        <v>1184480</v>
      </c>
    </row>
    <row r="55" spans="1:7" ht="12" customHeight="1" x14ac:dyDescent="0.3">
      <c r="A55" s="2"/>
      <c r="B55" s="40"/>
      <c r="C55" s="41"/>
      <c r="D55" s="41"/>
      <c r="E55" s="41"/>
      <c r="F55" s="42"/>
      <c r="G55" s="107"/>
    </row>
    <row r="56" spans="1:7" ht="12" customHeight="1" x14ac:dyDescent="0.3">
      <c r="A56" s="5"/>
      <c r="B56" s="29" t="s">
        <v>26</v>
      </c>
      <c r="C56" s="30"/>
      <c r="D56" s="31"/>
      <c r="E56" s="31"/>
      <c r="F56" s="32"/>
      <c r="G56" s="106"/>
    </row>
    <row r="57" spans="1:7" ht="24" customHeight="1" x14ac:dyDescent="0.3">
      <c r="A57" s="5"/>
      <c r="B57" s="95" t="s">
        <v>27</v>
      </c>
      <c r="C57" s="95" t="s">
        <v>28</v>
      </c>
      <c r="D57" s="95" t="s">
        <v>29</v>
      </c>
      <c r="E57" s="95" t="s">
        <v>17</v>
      </c>
      <c r="F57" s="95" t="s">
        <v>18</v>
      </c>
      <c r="G57" s="108" t="s">
        <v>19</v>
      </c>
    </row>
    <row r="58" spans="1:7" ht="12.75" customHeight="1" x14ac:dyDescent="0.3">
      <c r="A58" s="56"/>
      <c r="B58" s="135" t="s">
        <v>153</v>
      </c>
      <c r="C58" s="98"/>
      <c r="D58" s="97"/>
      <c r="E58" s="98"/>
      <c r="F58" s="98"/>
      <c r="G58" s="97"/>
    </row>
    <row r="59" spans="1:7" ht="24" customHeight="1" x14ac:dyDescent="0.3">
      <c r="A59" s="56"/>
      <c r="B59" s="156" t="s">
        <v>179</v>
      </c>
      <c r="C59" s="157" t="s">
        <v>60</v>
      </c>
      <c r="D59" s="158">
        <f>2850-500</f>
        <v>2350</v>
      </c>
      <c r="E59" s="157" t="s">
        <v>67</v>
      </c>
      <c r="F59" s="160">
        <v>631</v>
      </c>
      <c r="G59" s="160">
        <f>D59*F59/3</f>
        <v>494283.33333333331</v>
      </c>
    </row>
    <row r="60" spans="1:7" ht="31.5" customHeight="1" x14ac:dyDescent="0.3">
      <c r="A60" s="56"/>
      <c r="B60" s="161" t="s">
        <v>185</v>
      </c>
      <c r="C60" s="157" t="s">
        <v>94</v>
      </c>
      <c r="D60" s="158">
        <v>500</v>
      </c>
      <c r="E60" s="157" t="s">
        <v>67</v>
      </c>
      <c r="F60" s="160">
        <f>2950*1.19</f>
        <v>3510.5</v>
      </c>
      <c r="G60" s="160">
        <f>D60*F60/2</f>
        <v>877625</v>
      </c>
    </row>
    <row r="61" spans="1:7" ht="26.25" customHeight="1" x14ac:dyDescent="0.3">
      <c r="A61" s="56"/>
      <c r="B61" s="161" t="s">
        <v>180</v>
      </c>
      <c r="C61" s="157" t="s">
        <v>60</v>
      </c>
      <c r="D61" s="158">
        <v>330</v>
      </c>
      <c r="E61" s="157" t="s">
        <v>67</v>
      </c>
      <c r="F61" s="160">
        <f>3700*1.19</f>
        <v>4403</v>
      </c>
      <c r="G61" s="160">
        <f>D61*F61/3</f>
        <v>484330</v>
      </c>
    </row>
    <row r="62" spans="1:7" ht="24.75" customHeight="1" x14ac:dyDescent="0.3">
      <c r="A62" s="56"/>
      <c r="B62" s="161" t="s">
        <v>181</v>
      </c>
      <c r="C62" s="157" t="s">
        <v>60</v>
      </c>
      <c r="D62" s="158">
        <v>230</v>
      </c>
      <c r="E62" s="157" t="s">
        <v>67</v>
      </c>
      <c r="F62" s="160">
        <f>3700*1.19</f>
        <v>4403</v>
      </c>
      <c r="G62" s="160">
        <f>D62*F62/3</f>
        <v>337563.33333333331</v>
      </c>
    </row>
    <row r="63" spans="1:7" ht="26.25" customHeight="1" x14ac:dyDescent="0.3">
      <c r="A63" s="56"/>
      <c r="B63" s="161" t="s">
        <v>163</v>
      </c>
      <c r="C63" s="157" t="s">
        <v>60</v>
      </c>
      <c r="D63" s="158">
        <v>215</v>
      </c>
      <c r="E63" s="157" t="s">
        <v>67</v>
      </c>
      <c r="F63" s="160">
        <f>3700*1.19</f>
        <v>4403</v>
      </c>
      <c r="G63" s="160">
        <f>D63*F63/3</f>
        <v>315548.33333333331</v>
      </c>
    </row>
    <row r="64" spans="1:7" ht="30" customHeight="1" x14ac:dyDescent="0.3">
      <c r="A64" s="56"/>
      <c r="B64" s="161" t="s">
        <v>164</v>
      </c>
      <c r="C64" s="157" t="s">
        <v>60</v>
      </c>
      <c r="D64" s="158">
        <v>80</v>
      </c>
      <c r="E64" s="157" t="s">
        <v>67</v>
      </c>
      <c r="F64" s="160">
        <f>2950*1.19</f>
        <v>3510.5</v>
      </c>
      <c r="G64" s="160">
        <f>D64*F64/2</f>
        <v>140420</v>
      </c>
    </row>
    <row r="65" spans="1:234" ht="27" customHeight="1" x14ac:dyDescent="0.3">
      <c r="A65" s="56"/>
      <c r="B65" s="161" t="s">
        <v>184</v>
      </c>
      <c r="C65" s="157" t="s">
        <v>162</v>
      </c>
      <c r="D65" s="158">
        <v>14</v>
      </c>
      <c r="E65" s="157" t="s">
        <v>67</v>
      </c>
      <c r="F65" s="160">
        <v>250000</v>
      </c>
      <c r="G65" s="160">
        <f>D65*F65/8</f>
        <v>437500</v>
      </c>
    </row>
    <row r="66" spans="1:234" ht="28.5" customHeight="1" x14ac:dyDescent="0.3">
      <c r="A66" s="56"/>
      <c r="B66" s="143" t="s">
        <v>166</v>
      </c>
      <c r="C66" s="145" t="s">
        <v>165</v>
      </c>
      <c r="D66" s="140">
        <v>4</v>
      </c>
      <c r="E66" s="157" t="s">
        <v>67</v>
      </c>
      <c r="F66" s="141">
        <v>52836</v>
      </c>
      <c r="G66" s="142">
        <f>D66*F66/8</f>
        <v>26418</v>
      </c>
    </row>
    <row r="67" spans="1:234" ht="43.5" customHeight="1" x14ac:dyDescent="0.3">
      <c r="A67" s="56"/>
      <c r="B67" s="161" t="s">
        <v>186</v>
      </c>
      <c r="C67" s="157" t="s">
        <v>60</v>
      </c>
      <c r="D67" s="158">
        <v>150</v>
      </c>
      <c r="E67" s="157" t="s">
        <v>67</v>
      </c>
      <c r="F67" s="160">
        <f>2950*1.19</f>
        <v>3510.5</v>
      </c>
      <c r="G67" s="160">
        <f>D67*F67/2</f>
        <v>263287.5</v>
      </c>
    </row>
    <row r="68" spans="1:234" s="148" customFormat="1" ht="12.75" customHeight="1" x14ac:dyDescent="0.3">
      <c r="A68" s="146"/>
      <c r="B68" s="149" t="s">
        <v>167</v>
      </c>
      <c r="C68" s="166"/>
      <c r="D68" s="167"/>
      <c r="E68" s="166"/>
      <c r="F68" s="168"/>
      <c r="G68" s="168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  <c r="BI68" s="147"/>
      <c r="BJ68" s="147"/>
      <c r="BK68" s="147"/>
      <c r="BL68" s="147"/>
      <c r="BM68" s="147"/>
      <c r="BN68" s="147"/>
      <c r="BO68" s="147"/>
      <c r="BP68" s="147"/>
      <c r="BQ68" s="147"/>
      <c r="BR68" s="147"/>
      <c r="BS68" s="147"/>
      <c r="BT68" s="147"/>
      <c r="BU68" s="147"/>
      <c r="BV68" s="147"/>
      <c r="BW68" s="147"/>
      <c r="BX68" s="147"/>
      <c r="BY68" s="147"/>
      <c r="BZ68" s="147"/>
      <c r="CA68" s="147"/>
      <c r="CB68" s="147"/>
      <c r="CC68" s="147"/>
      <c r="CD68" s="147"/>
      <c r="CE68" s="147"/>
      <c r="CF68" s="147"/>
      <c r="CG68" s="147"/>
      <c r="CH68" s="147"/>
      <c r="CI68" s="147"/>
      <c r="CJ68" s="147"/>
      <c r="CK68" s="147"/>
      <c r="CL68" s="147"/>
      <c r="CM68" s="147"/>
      <c r="CN68" s="147"/>
      <c r="CO68" s="147"/>
      <c r="CP68" s="147"/>
      <c r="CQ68" s="147"/>
      <c r="CR68" s="147"/>
      <c r="CS68" s="147"/>
      <c r="CT68" s="147"/>
      <c r="CU68" s="147"/>
      <c r="CV68" s="147"/>
      <c r="CW68" s="147"/>
      <c r="CX68" s="147"/>
      <c r="CY68" s="147"/>
      <c r="CZ68" s="147"/>
      <c r="DA68" s="147"/>
      <c r="DB68" s="147"/>
      <c r="DC68" s="147"/>
      <c r="DD68" s="147"/>
      <c r="DE68" s="147"/>
      <c r="DF68" s="147"/>
      <c r="DG68" s="147"/>
      <c r="DH68" s="147"/>
      <c r="DI68" s="147"/>
      <c r="DJ68" s="147"/>
      <c r="DK68" s="147"/>
      <c r="DL68" s="147"/>
      <c r="DM68" s="147"/>
      <c r="DN68" s="147"/>
      <c r="DO68" s="147"/>
      <c r="DP68" s="147"/>
      <c r="DQ68" s="147"/>
      <c r="DR68" s="147"/>
      <c r="DS68" s="147"/>
      <c r="DT68" s="147"/>
      <c r="DU68" s="147"/>
      <c r="DV68" s="147"/>
      <c r="DW68" s="147"/>
      <c r="DX68" s="147"/>
      <c r="DY68" s="147"/>
      <c r="DZ68" s="147"/>
      <c r="EA68" s="147"/>
      <c r="EB68" s="147"/>
      <c r="EC68" s="147"/>
      <c r="ED68" s="147"/>
      <c r="EE68" s="147"/>
      <c r="EF68" s="147"/>
      <c r="EG68" s="147"/>
      <c r="EH68" s="147"/>
      <c r="EI68" s="147"/>
      <c r="EJ68" s="147"/>
      <c r="EK68" s="147"/>
      <c r="EL68" s="147"/>
      <c r="EM68" s="147"/>
      <c r="EN68" s="147"/>
      <c r="EO68" s="147"/>
      <c r="EP68" s="147"/>
      <c r="EQ68" s="147"/>
      <c r="ER68" s="147"/>
      <c r="ES68" s="147"/>
      <c r="ET68" s="147"/>
      <c r="EU68" s="147"/>
      <c r="EV68" s="147"/>
      <c r="EW68" s="147"/>
      <c r="EX68" s="147"/>
      <c r="EY68" s="147"/>
      <c r="EZ68" s="147"/>
      <c r="FA68" s="147"/>
      <c r="FB68" s="147"/>
      <c r="FC68" s="147"/>
      <c r="FD68" s="147"/>
      <c r="FE68" s="147"/>
      <c r="FF68" s="147"/>
      <c r="FG68" s="147"/>
      <c r="FH68" s="147"/>
      <c r="FI68" s="147"/>
      <c r="FJ68" s="147"/>
      <c r="FK68" s="147"/>
      <c r="FL68" s="147"/>
      <c r="FM68" s="147"/>
      <c r="FN68" s="147"/>
      <c r="FO68" s="147"/>
      <c r="FP68" s="147"/>
      <c r="FQ68" s="147"/>
      <c r="FR68" s="147"/>
      <c r="FS68" s="147"/>
      <c r="FT68" s="147"/>
      <c r="FU68" s="147"/>
      <c r="FV68" s="147"/>
      <c r="FW68" s="147"/>
      <c r="FX68" s="147"/>
      <c r="FY68" s="147"/>
      <c r="FZ68" s="147"/>
      <c r="GA68" s="147"/>
      <c r="GB68" s="147"/>
      <c r="GC68" s="147"/>
      <c r="GD68" s="147"/>
      <c r="GE68" s="147"/>
      <c r="GF68" s="147"/>
      <c r="GG68" s="147"/>
      <c r="GH68" s="147"/>
      <c r="GI68" s="147"/>
      <c r="GJ68" s="147"/>
      <c r="GK68" s="147"/>
      <c r="GL68" s="147"/>
      <c r="GM68" s="147"/>
      <c r="GN68" s="147"/>
      <c r="GO68" s="147"/>
      <c r="GP68" s="147"/>
      <c r="GQ68" s="147"/>
      <c r="GR68" s="147"/>
      <c r="GS68" s="147"/>
      <c r="GT68" s="147"/>
      <c r="GU68" s="147"/>
      <c r="GV68" s="147"/>
      <c r="GW68" s="147"/>
      <c r="GX68" s="147"/>
      <c r="GY68" s="147"/>
      <c r="GZ68" s="147"/>
      <c r="HA68" s="147"/>
      <c r="HB68" s="147"/>
      <c r="HC68" s="147"/>
      <c r="HD68" s="147"/>
      <c r="HE68" s="147"/>
      <c r="HF68" s="147"/>
      <c r="HG68" s="147"/>
      <c r="HH68" s="147"/>
      <c r="HI68" s="147"/>
      <c r="HJ68" s="147"/>
      <c r="HK68" s="147"/>
      <c r="HL68" s="147"/>
      <c r="HM68" s="147"/>
      <c r="HN68" s="147"/>
      <c r="HO68" s="147"/>
      <c r="HP68" s="147"/>
      <c r="HQ68" s="147"/>
      <c r="HR68" s="147"/>
      <c r="HS68" s="147"/>
      <c r="HT68" s="147"/>
      <c r="HU68" s="147"/>
      <c r="HV68" s="147"/>
      <c r="HW68" s="147"/>
      <c r="HX68" s="147"/>
      <c r="HY68" s="147"/>
      <c r="HZ68" s="147"/>
    </row>
    <row r="69" spans="1:234" ht="24.75" customHeight="1" x14ac:dyDescent="0.3">
      <c r="A69" s="56"/>
      <c r="B69" s="164" t="s">
        <v>178</v>
      </c>
      <c r="C69" s="157" t="s">
        <v>93</v>
      </c>
      <c r="D69" s="158">
        <v>11520</v>
      </c>
      <c r="E69" s="157" t="s">
        <v>75</v>
      </c>
      <c r="F69" s="160">
        <f>42*1.19</f>
        <v>49.98</v>
      </c>
      <c r="G69" s="160">
        <f>D69*F69/2</f>
        <v>287884.79999999999</v>
      </c>
    </row>
    <row r="70" spans="1:234" ht="12.75" customHeight="1" x14ac:dyDescent="0.3">
      <c r="A70" s="56"/>
      <c r="B70" s="161" t="s">
        <v>95</v>
      </c>
      <c r="C70" s="159" t="s">
        <v>60</v>
      </c>
      <c r="D70" s="191">
        <v>40.510127531882972</v>
      </c>
      <c r="E70" s="159" t="s">
        <v>134</v>
      </c>
      <c r="F70" s="163">
        <f>4202*1.19</f>
        <v>5000.38</v>
      </c>
      <c r="G70" s="163">
        <f t="shared" ref="G70" si="2">D70*F70</f>
        <v>202566.03150787699</v>
      </c>
    </row>
    <row r="71" spans="1:234" ht="27" customHeight="1" x14ac:dyDescent="0.3">
      <c r="A71" s="56"/>
      <c r="B71" s="161" t="s">
        <v>169</v>
      </c>
      <c r="C71" s="159" t="s">
        <v>168</v>
      </c>
      <c r="D71" s="191">
        <v>1</v>
      </c>
      <c r="E71" s="159" t="s">
        <v>170</v>
      </c>
      <c r="F71" s="163">
        <v>10000000</v>
      </c>
      <c r="G71" s="163">
        <f>D71*F71/8</f>
        <v>1250000</v>
      </c>
    </row>
    <row r="72" spans="1:234" ht="12.75" customHeight="1" x14ac:dyDescent="0.3">
      <c r="A72" s="56"/>
      <c r="B72" s="135" t="s">
        <v>151</v>
      </c>
      <c r="C72" s="94"/>
      <c r="D72" s="96"/>
      <c r="E72" s="94"/>
      <c r="F72" s="97"/>
      <c r="G72" s="97"/>
    </row>
    <row r="73" spans="1:234" ht="12.75" customHeight="1" x14ac:dyDescent="0.3">
      <c r="A73" s="56"/>
      <c r="B73" s="164" t="s">
        <v>145</v>
      </c>
      <c r="C73" s="159" t="s">
        <v>59</v>
      </c>
      <c r="D73" s="162">
        <v>13000</v>
      </c>
      <c r="E73" s="159" t="s">
        <v>73</v>
      </c>
      <c r="F73" s="163">
        <v>630</v>
      </c>
      <c r="G73" s="163">
        <f t="shared" ref="G73:G111" si="3">D73*F73</f>
        <v>8190000</v>
      </c>
    </row>
    <row r="74" spans="1:234" ht="12.75" customHeight="1" x14ac:dyDescent="0.3">
      <c r="A74" s="56"/>
      <c r="C74" s="94"/>
      <c r="D74" s="96"/>
      <c r="E74" s="94"/>
      <c r="F74" s="97"/>
      <c r="G74" s="97"/>
    </row>
    <row r="75" spans="1:234" ht="12.75" customHeight="1" x14ac:dyDescent="0.3">
      <c r="A75" s="56"/>
      <c r="B75" s="136" t="s">
        <v>58</v>
      </c>
      <c r="C75" s="94"/>
      <c r="D75" s="96"/>
      <c r="E75" s="94"/>
      <c r="F75" s="97"/>
      <c r="G75" s="97"/>
    </row>
    <row r="76" spans="1:234" ht="12.75" customHeight="1" x14ac:dyDescent="0.3">
      <c r="A76" s="56"/>
      <c r="B76" s="165" t="s">
        <v>96</v>
      </c>
      <c r="C76" s="159" t="s">
        <v>97</v>
      </c>
      <c r="D76" s="162">
        <v>50</v>
      </c>
      <c r="E76" s="159" t="s">
        <v>73</v>
      </c>
      <c r="F76" s="163">
        <v>8000</v>
      </c>
      <c r="G76" s="163">
        <f t="shared" si="3"/>
        <v>400000</v>
      </c>
    </row>
    <row r="77" spans="1:234" ht="12.75" customHeight="1" x14ac:dyDescent="0.3">
      <c r="A77" s="56"/>
      <c r="B77" s="165" t="s">
        <v>98</v>
      </c>
      <c r="C77" s="159" t="s">
        <v>94</v>
      </c>
      <c r="D77" s="162">
        <v>250</v>
      </c>
      <c r="E77" s="159" t="s">
        <v>73</v>
      </c>
      <c r="F77" s="163">
        <f>897*1.19</f>
        <v>1067.43</v>
      </c>
      <c r="G77" s="163">
        <f t="shared" si="3"/>
        <v>266857.5</v>
      </c>
    </row>
    <row r="78" spans="1:234" ht="12.75" customHeight="1" x14ac:dyDescent="0.3">
      <c r="A78" s="56"/>
      <c r="B78" s="165" t="s">
        <v>99</v>
      </c>
      <c r="C78" s="159" t="s">
        <v>94</v>
      </c>
      <c r="D78" s="162">
        <v>200</v>
      </c>
      <c r="E78" s="159" t="s">
        <v>100</v>
      </c>
      <c r="F78" s="163">
        <f>2020*1.19</f>
        <v>2403.7999999999997</v>
      </c>
      <c r="G78" s="163">
        <f t="shared" si="3"/>
        <v>480759.99999999994</v>
      </c>
    </row>
    <row r="79" spans="1:234" ht="12.75" customHeight="1" x14ac:dyDescent="0.3">
      <c r="A79" s="56"/>
      <c r="B79" s="165" t="s">
        <v>101</v>
      </c>
      <c r="C79" s="159" t="s">
        <v>102</v>
      </c>
      <c r="D79" s="162">
        <v>1300</v>
      </c>
      <c r="E79" s="159" t="s">
        <v>84</v>
      </c>
      <c r="F79" s="163">
        <f>1495*1.19</f>
        <v>1779.05</v>
      </c>
      <c r="G79" s="163">
        <f t="shared" si="3"/>
        <v>2312765</v>
      </c>
    </row>
    <row r="80" spans="1:234" ht="12.75" customHeight="1" x14ac:dyDescent="0.3">
      <c r="A80" s="56"/>
      <c r="B80" s="165" t="s">
        <v>103</v>
      </c>
      <c r="C80" s="159" t="s">
        <v>94</v>
      </c>
      <c r="D80" s="162">
        <v>450</v>
      </c>
      <c r="E80" s="159" t="s">
        <v>84</v>
      </c>
      <c r="F80" s="163">
        <f>666*1.19</f>
        <v>792.54</v>
      </c>
      <c r="G80" s="163">
        <f t="shared" si="3"/>
        <v>356643</v>
      </c>
    </row>
    <row r="81" spans="1:234" ht="12.75" customHeight="1" x14ac:dyDescent="0.3">
      <c r="A81" s="56"/>
      <c r="B81" s="165" t="s">
        <v>104</v>
      </c>
      <c r="C81" s="159" t="s">
        <v>94</v>
      </c>
      <c r="D81" s="162">
        <v>100</v>
      </c>
      <c r="E81" s="159" t="s">
        <v>84</v>
      </c>
      <c r="F81" s="163">
        <f>598*1.19</f>
        <v>711.62</v>
      </c>
      <c r="G81" s="163">
        <f t="shared" si="3"/>
        <v>71162</v>
      </c>
    </row>
    <row r="82" spans="1:234" ht="12.75" customHeight="1" x14ac:dyDescent="0.3">
      <c r="A82" s="56"/>
      <c r="B82" s="165" t="s">
        <v>105</v>
      </c>
      <c r="C82" s="159" t="s">
        <v>94</v>
      </c>
      <c r="D82" s="162">
        <v>100</v>
      </c>
      <c r="E82" s="159" t="s">
        <v>84</v>
      </c>
      <c r="F82" s="163">
        <f>1610*1.19</f>
        <v>1915.8999999999999</v>
      </c>
      <c r="G82" s="163">
        <f t="shared" si="3"/>
        <v>191590</v>
      </c>
    </row>
    <row r="83" spans="1:234" ht="12.75" customHeight="1" x14ac:dyDescent="0.3">
      <c r="A83" s="56"/>
      <c r="B83" s="165" t="s">
        <v>106</v>
      </c>
      <c r="C83" s="159" t="s">
        <v>94</v>
      </c>
      <c r="D83" s="162">
        <v>100</v>
      </c>
      <c r="E83" s="159" t="s">
        <v>84</v>
      </c>
      <c r="F83" s="163">
        <f>1610*1.19</f>
        <v>1915.8999999999999</v>
      </c>
      <c r="G83" s="163">
        <f t="shared" si="3"/>
        <v>191590</v>
      </c>
    </row>
    <row r="84" spans="1:234" ht="12.75" customHeight="1" x14ac:dyDescent="0.3">
      <c r="A84" s="56"/>
      <c r="B84" s="165" t="s">
        <v>107</v>
      </c>
      <c r="C84" s="159" t="s">
        <v>94</v>
      </c>
      <c r="D84" s="162">
        <v>200</v>
      </c>
      <c r="E84" s="159" t="s">
        <v>84</v>
      </c>
      <c r="F84" s="163">
        <f>1350*1.19</f>
        <v>1606.5</v>
      </c>
      <c r="G84" s="163">
        <f t="shared" si="3"/>
        <v>321300</v>
      </c>
    </row>
    <row r="85" spans="1:234" ht="12.75" customHeight="1" x14ac:dyDescent="0.3">
      <c r="A85" s="56"/>
      <c r="B85" s="165" t="s">
        <v>108</v>
      </c>
      <c r="C85" s="159" t="s">
        <v>94</v>
      </c>
      <c r="D85" s="162">
        <v>25</v>
      </c>
      <c r="E85" s="159" t="s">
        <v>84</v>
      </c>
      <c r="F85" s="163">
        <f>358*1.19</f>
        <v>426.02</v>
      </c>
      <c r="G85" s="163">
        <f t="shared" si="3"/>
        <v>10650.5</v>
      </c>
    </row>
    <row r="86" spans="1:234" ht="12.75" customHeight="1" x14ac:dyDescent="0.3">
      <c r="A86" s="56"/>
      <c r="B86" s="165" t="s">
        <v>109</v>
      </c>
      <c r="C86" s="159" t="s">
        <v>94</v>
      </c>
      <c r="D86" s="162">
        <v>25</v>
      </c>
      <c r="E86" s="159" t="s">
        <v>110</v>
      </c>
      <c r="F86" s="163">
        <f>2690*1.19</f>
        <v>3201.1</v>
      </c>
      <c r="G86" s="163">
        <f t="shared" si="3"/>
        <v>80027.5</v>
      </c>
    </row>
    <row r="87" spans="1:234" ht="12.75" customHeight="1" x14ac:dyDescent="0.3">
      <c r="A87" s="56"/>
      <c r="B87" s="165" t="s">
        <v>111</v>
      </c>
      <c r="C87" s="159" t="s">
        <v>138</v>
      </c>
      <c r="D87" s="162">
        <v>20</v>
      </c>
      <c r="E87" s="159" t="s">
        <v>84</v>
      </c>
      <c r="F87" s="163">
        <f>17600*1.19</f>
        <v>20944</v>
      </c>
      <c r="G87" s="163">
        <f t="shared" si="3"/>
        <v>418880</v>
      </c>
    </row>
    <row r="88" spans="1:234" ht="12.75" customHeight="1" x14ac:dyDescent="0.3">
      <c r="A88" s="56"/>
      <c r="B88" s="135" t="s">
        <v>150</v>
      </c>
      <c r="C88" s="94"/>
      <c r="D88" s="96"/>
      <c r="E88" s="94"/>
      <c r="F88" s="97"/>
      <c r="G88" s="97"/>
    </row>
    <row r="89" spans="1:234" ht="12.75" customHeight="1" x14ac:dyDescent="0.3">
      <c r="A89" s="56"/>
      <c r="B89" s="151" t="s">
        <v>129</v>
      </c>
      <c r="C89" s="94"/>
      <c r="D89" s="96"/>
      <c r="E89" s="94"/>
      <c r="F89" s="97"/>
      <c r="G89" s="97"/>
    </row>
    <row r="90" spans="1:234" ht="12.75" customHeight="1" x14ac:dyDescent="0.3">
      <c r="A90" s="56"/>
      <c r="B90" s="193" t="s">
        <v>112</v>
      </c>
      <c r="C90" s="194" t="s">
        <v>94</v>
      </c>
      <c r="D90" s="195">
        <v>0.5</v>
      </c>
      <c r="E90" s="194" t="s">
        <v>84</v>
      </c>
      <c r="F90" s="196">
        <f>142000*1.19</f>
        <v>168980</v>
      </c>
      <c r="G90" s="196">
        <f>D90*F90</f>
        <v>84490</v>
      </c>
    </row>
    <row r="91" spans="1:234" ht="12.75" customHeight="1" x14ac:dyDescent="0.3">
      <c r="A91" s="56"/>
      <c r="B91" s="193" t="s">
        <v>113</v>
      </c>
      <c r="C91" s="194" t="s">
        <v>94</v>
      </c>
      <c r="D91" s="195">
        <v>0.5</v>
      </c>
      <c r="E91" s="194" t="s">
        <v>84</v>
      </c>
      <c r="F91" s="196">
        <f>37699*1.19*5</f>
        <v>224309.05</v>
      </c>
      <c r="G91" s="196">
        <f t="shared" si="3"/>
        <v>112154.52499999999</v>
      </c>
    </row>
    <row r="92" spans="1:234" ht="12.75" customHeight="1" x14ac:dyDescent="0.3">
      <c r="A92" s="56"/>
      <c r="B92" s="193" t="s">
        <v>114</v>
      </c>
      <c r="C92" s="194" t="s">
        <v>94</v>
      </c>
      <c r="D92" s="195">
        <v>0.25</v>
      </c>
      <c r="E92" s="194" t="s">
        <v>84</v>
      </c>
      <c r="F92" s="196">
        <f>210210*1.19</f>
        <v>250149.9</v>
      </c>
      <c r="G92" s="196">
        <f t="shared" si="3"/>
        <v>62537.474999999999</v>
      </c>
    </row>
    <row r="93" spans="1:234" ht="12.75" customHeight="1" x14ac:dyDescent="0.3">
      <c r="A93" s="56"/>
      <c r="B93" s="193" t="s">
        <v>115</v>
      </c>
      <c r="C93" s="194" t="s">
        <v>94</v>
      </c>
      <c r="D93" s="195">
        <v>2</v>
      </c>
      <c r="E93" s="194" t="s">
        <v>84</v>
      </c>
      <c r="F93" s="196">
        <f>17604*1.19*5</f>
        <v>104743.79999999999</v>
      </c>
      <c r="G93" s="196">
        <f t="shared" si="3"/>
        <v>209487.59999999998</v>
      </c>
    </row>
    <row r="94" spans="1:234" ht="12.75" customHeight="1" x14ac:dyDescent="0.3">
      <c r="A94" s="56"/>
      <c r="B94" s="193" t="s">
        <v>155</v>
      </c>
      <c r="C94" s="194" t="s">
        <v>174</v>
      </c>
      <c r="D94" s="195">
        <v>1</v>
      </c>
      <c r="E94" s="194" t="s">
        <v>84</v>
      </c>
      <c r="F94" s="196">
        <v>5500</v>
      </c>
      <c r="G94" s="196">
        <f>D94*F94</f>
        <v>5500</v>
      </c>
    </row>
    <row r="95" spans="1:234" ht="12.75" customHeight="1" x14ac:dyDescent="0.3">
      <c r="A95" s="56"/>
      <c r="B95" s="193" t="s">
        <v>116</v>
      </c>
      <c r="C95" s="194" t="s">
        <v>60</v>
      </c>
      <c r="D95" s="195">
        <v>1</v>
      </c>
      <c r="E95" s="194" t="s">
        <v>84</v>
      </c>
      <c r="F95" s="196">
        <f>50266*1.19</f>
        <v>59816.54</v>
      </c>
      <c r="G95" s="196">
        <f t="shared" si="3"/>
        <v>59816.54</v>
      </c>
    </row>
    <row r="96" spans="1:234" s="148" customFormat="1" ht="12.75" hidden="1" customHeight="1" x14ac:dyDescent="0.3">
      <c r="A96" s="146"/>
      <c r="B96" s="193"/>
      <c r="C96" s="194"/>
      <c r="D96" s="195"/>
      <c r="E96" s="194"/>
      <c r="F96" s="196"/>
      <c r="G96" s="196"/>
      <c r="H96" s="147"/>
      <c r="I96" s="147"/>
      <c r="J96" s="147"/>
      <c r="K96" s="147"/>
      <c r="L96" s="147"/>
      <c r="M96" s="147"/>
      <c r="N96" s="147"/>
      <c r="O96" s="147"/>
      <c r="P96" s="147"/>
      <c r="Q96" s="147"/>
      <c r="R96" s="147"/>
      <c r="S96" s="147"/>
      <c r="T96" s="147"/>
      <c r="U96" s="147"/>
      <c r="V96" s="147"/>
      <c r="W96" s="147"/>
      <c r="X96" s="147"/>
      <c r="Y96" s="147"/>
      <c r="Z96" s="147"/>
      <c r="AA96" s="147"/>
      <c r="AB96" s="147"/>
      <c r="AC96" s="147"/>
      <c r="AD96" s="147"/>
      <c r="AE96" s="147"/>
      <c r="AF96" s="147"/>
      <c r="AG96" s="147"/>
      <c r="AH96" s="147"/>
      <c r="AI96" s="147"/>
      <c r="AJ96" s="147"/>
      <c r="AK96" s="147"/>
      <c r="AL96" s="147"/>
      <c r="AM96" s="147"/>
      <c r="AN96" s="147"/>
      <c r="AO96" s="147"/>
      <c r="AP96" s="147"/>
      <c r="AQ96" s="147"/>
      <c r="AR96" s="147"/>
      <c r="AS96" s="147"/>
      <c r="AT96" s="147"/>
      <c r="AU96" s="147"/>
      <c r="AV96" s="147"/>
      <c r="AW96" s="147"/>
      <c r="AX96" s="147"/>
      <c r="AY96" s="147"/>
      <c r="AZ96" s="147"/>
      <c r="BA96" s="147"/>
      <c r="BB96" s="147"/>
      <c r="BC96" s="147"/>
      <c r="BD96" s="147"/>
      <c r="BE96" s="147"/>
      <c r="BF96" s="147"/>
      <c r="BG96" s="147"/>
      <c r="BH96" s="147"/>
      <c r="BI96" s="147"/>
      <c r="BJ96" s="147"/>
      <c r="BK96" s="147"/>
      <c r="BL96" s="147"/>
      <c r="BM96" s="147"/>
      <c r="BN96" s="147"/>
      <c r="BO96" s="147"/>
      <c r="BP96" s="147"/>
      <c r="BQ96" s="147"/>
      <c r="BR96" s="147"/>
      <c r="BS96" s="147"/>
      <c r="BT96" s="147"/>
      <c r="BU96" s="147"/>
      <c r="BV96" s="147"/>
      <c r="BW96" s="147"/>
      <c r="BX96" s="147"/>
      <c r="BY96" s="147"/>
      <c r="BZ96" s="147"/>
      <c r="CA96" s="147"/>
      <c r="CB96" s="147"/>
      <c r="CC96" s="147"/>
      <c r="CD96" s="147"/>
      <c r="CE96" s="147"/>
      <c r="CF96" s="147"/>
      <c r="CG96" s="147"/>
      <c r="CH96" s="147"/>
      <c r="CI96" s="147"/>
      <c r="CJ96" s="147"/>
      <c r="CK96" s="147"/>
      <c r="CL96" s="147"/>
      <c r="CM96" s="147"/>
      <c r="CN96" s="147"/>
      <c r="CO96" s="147"/>
      <c r="CP96" s="147"/>
      <c r="CQ96" s="147"/>
      <c r="CR96" s="147"/>
      <c r="CS96" s="147"/>
      <c r="CT96" s="147"/>
      <c r="CU96" s="147"/>
      <c r="CV96" s="147"/>
      <c r="CW96" s="147"/>
      <c r="CX96" s="147"/>
      <c r="CY96" s="147"/>
      <c r="CZ96" s="147"/>
      <c r="DA96" s="147"/>
      <c r="DB96" s="147"/>
      <c r="DC96" s="147"/>
      <c r="DD96" s="147"/>
      <c r="DE96" s="147"/>
      <c r="DF96" s="147"/>
      <c r="DG96" s="147"/>
      <c r="DH96" s="147"/>
      <c r="DI96" s="147"/>
      <c r="DJ96" s="147"/>
      <c r="DK96" s="147"/>
      <c r="DL96" s="147"/>
      <c r="DM96" s="147"/>
      <c r="DN96" s="147"/>
      <c r="DO96" s="147"/>
      <c r="DP96" s="147"/>
      <c r="DQ96" s="147"/>
      <c r="DR96" s="147"/>
      <c r="DS96" s="147"/>
      <c r="DT96" s="147"/>
      <c r="DU96" s="147"/>
      <c r="DV96" s="147"/>
      <c r="DW96" s="147"/>
      <c r="DX96" s="147"/>
      <c r="DY96" s="147"/>
      <c r="DZ96" s="147"/>
      <c r="EA96" s="147"/>
      <c r="EB96" s="147"/>
      <c r="EC96" s="147"/>
      <c r="ED96" s="147"/>
      <c r="EE96" s="147"/>
      <c r="EF96" s="147"/>
      <c r="EG96" s="147"/>
      <c r="EH96" s="147"/>
      <c r="EI96" s="147"/>
      <c r="EJ96" s="147"/>
      <c r="EK96" s="147"/>
      <c r="EL96" s="147"/>
      <c r="EM96" s="147"/>
      <c r="EN96" s="147"/>
      <c r="EO96" s="147"/>
      <c r="EP96" s="147"/>
      <c r="EQ96" s="147"/>
      <c r="ER96" s="147"/>
      <c r="ES96" s="147"/>
      <c r="ET96" s="147"/>
      <c r="EU96" s="147"/>
      <c r="EV96" s="147"/>
      <c r="EW96" s="147"/>
      <c r="EX96" s="147"/>
      <c r="EY96" s="147"/>
      <c r="EZ96" s="147"/>
      <c r="FA96" s="147"/>
      <c r="FB96" s="147"/>
      <c r="FC96" s="147"/>
      <c r="FD96" s="147"/>
      <c r="FE96" s="147"/>
      <c r="FF96" s="147"/>
      <c r="FG96" s="147"/>
      <c r="FH96" s="147"/>
      <c r="FI96" s="147"/>
      <c r="FJ96" s="147"/>
      <c r="FK96" s="147"/>
      <c r="FL96" s="147"/>
      <c r="FM96" s="147"/>
      <c r="FN96" s="147"/>
      <c r="FO96" s="147"/>
      <c r="FP96" s="147"/>
      <c r="FQ96" s="147"/>
      <c r="FR96" s="147"/>
      <c r="FS96" s="147"/>
      <c r="FT96" s="147"/>
      <c r="FU96" s="147"/>
      <c r="FV96" s="147"/>
      <c r="FW96" s="147"/>
      <c r="FX96" s="147"/>
      <c r="FY96" s="147"/>
      <c r="FZ96" s="147"/>
      <c r="GA96" s="147"/>
      <c r="GB96" s="147"/>
      <c r="GC96" s="147"/>
      <c r="GD96" s="147"/>
      <c r="GE96" s="147"/>
      <c r="GF96" s="147"/>
      <c r="GG96" s="147"/>
      <c r="GH96" s="147"/>
      <c r="GI96" s="147"/>
      <c r="GJ96" s="147"/>
      <c r="GK96" s="147"/>
      <c r="GL96" s="147"/>
      <c r="GM96" s="147"/>
      <c r="GN96" s="147"/>
      <c r="GO96" s="147"/>
      <c r="GP96" s="147"/>
      <c r="GQ96" s="147"/>
      <c r="GR96" s="147"/>
      <c r="GS96" s="147"/>
      <c r="GT96" s="147"/>
      <c r="GU96" s="147"/>
      <c r="GV96" s="147"/>
      <c r="GW96" s="147"/>
      <c r="GX96" s="147"/>
      <c r="GY96" s="147"/>
      <c r="GZ96" s="147"/>
      <c r="HA96" s="147"/>
      <c r="HB96" s="147"/>
      <c r="HC96" s="147"/>
      <c r="HD96" s="147"/>
      <c r="HE96" s="147"/>
      <c r="HF96" s="147"/>
      <c r="HG96" s="147"/>
      <c r="HH96" s="147"/>
      <c r="HI96" s="147"/>
      <c r="HJ96" s="147"/>
      <c r="HK96" s="147"/>
      <c r="HL96" s="147"/>
      <c r="HM96" s="147"/>
      <c r="HN96" s="147"/>
      <c r="HO96" s="147"/>
      <c r="HP96" s="147"/>
      <c r="HQ96" s="147"/>
      <c r="HR96" s="147"/>
      <c r="HS96" s="147"/>
      <c r="HT96" s="147"/>
      <c r="HU96" s="147"/>
      <c r="HV96" s="147"/>
      <c r="HW96" s="147"/>
      <c r="HX96" s="147"/>
      <c r="HY96" s="147"/>
      <c r="HZ96" s="147"/>
    </row>
    <row r="97" spans="1:7" ht="12.75" hidden="1" customHeight="1" x14ac:dyDescent="0.3">
      <c r="A97" s="56"/>
      <c r="B97" s="197"/>
      <c r="C97" s="194"/>
      <c r="D97" s="195"/>
      <c r="E97" s="194"/>
      <c r="F97" s="196"/>
      <c r="G97" s="196"/>
    </row>
    <row r="98" spans="1:7" ht="12.75" hidden="1" customHeight="1" x14ac:dyDescent="0.3">
      <c r="A98" s="56"/>
      <c r="B98" s="197"/>
      <c r="C98" s="194"/>
      <c r="D98" s="195"/>
      <c r="E98" s="194"/>
      <c r="F98" s="196"/>
      <c r="G98" s="196"/>
    </row>
    <row r="99" spans="1:7" ht="12.75" customHeight="1" x14ac:dyDescent="0.3">
      <c r="A99" s="56"/>
      <c r="B99" s="193" t="s">
        <v>130</v>
      </c>
      <c r="C99" s="194"/>
      <c r="D99" s="195"/>
      <c r="E99" s="194"/>
      <c r="F99" s="196"/>
      <c r="G99" s="196"/>
    </row>
    <row r="100" spans="1:7" ht="12.75" customHeight="1" x14ac:dyDescent="0.3">
      <c r="A100" s="56"/>
      <c r="B100" s="193" t="s">
        <v>117</v>
      </c>
      <c r="C100" s="194" t="s">
        <v>94</v>
      </c>
      <c r="D100" s="195">
        <v>0.5</v>
      </c>
      <c r="E100" s="194" t="s">
        <v>73</v>
      </c>
      <c r="F100" s="196">
        <f>68153*1.19</f>
        <v>81102.069999999992</v>
      </c>
      <c r="G100" s="196">
        <f t="shared" si="3"/>
        <v>40551.034999999996</v>
      </c>
    </row>
    <row r="101" spans="1:7" ht="12.75" customHeight="1" x14ac:dyDescent="0.3">
      <c r="A101" s="56"/>
      <c r="B101" s="193" t="s">
        <v>118</v>
      </c>
      <c r="C101" s="194" t="s">
        <v>94</v>
      </c>
      <c r="D101" s="195">
        <v>1</v>
      </c>
      <c r="E101" s="194" t="s">
        <v>119</v>
      </c>
      <c r="F101" s="196">
        <f>146901*1.19</f>
        <v>174812.19</v>
      </c>
      <c r="G101" s="196">
        <f t="shared" si="3"/>
        <v>174812.19</v>
      </c>
    </row>
    <row r="102" spans="1:7" ht="12.75" customHeight="1" x14ac:dyDescent="0.3">
      <c r="A102" s="56"/>
      <c r="B102" s="193" t="s">
        <v>120</v>
      </c>
      <c r="C102" s="194" t="s">
        <v>94</v>
      </c>
      <c r="D102" s="195">
        <v>1</v>
      </c>
      <c r="E102" s="194" t="s">
        <v>121</v>
      </c>
      <c r="F102" s="196">
        <f>87311*1.19</f>
        <v>103900.09</v>
      </c>
      <c r="G102" s="196">
        <f t="shared" si="3"/>
        <v>103900.09</v>
      </c>
    </row>
    <row r="103" spans="1:7" ht="12.75" customHeight="1" x14ac:dyDescent="0.3">
      <c r="A103" s="56"/>
      <c r="B103" s="193" t="s">
        <v>122</v>
      </c>
      <c r="C103" s="194" t="s">
        <v>94</v>
      </c>
      <c r="D103" s="195">
        <v>6</v>
      </c>
      <c r="E103" s="194" t="s">
        <v>121</v>
      </c>
      <c r="F103" s="196">
        <f>20106*1.19</f>
        <v>23926.14</v>
      </c>
      <c r="G103" s="196">
        <f t="shared" si="3"/>
        <v>143556.84</v>
      </c>
    </row>
    <row r="104" spans="1:7" ht="12.75" customHeight="1" x14ac:dyDescent="0.3">
      <c r="A104" s="56"/>
      <c r="B104" s="193" t="s">
        <v>123</v>
      </c>
      <c r="C104" s="194" t="s">
        <v>94</v>
      </c>
      <c r="D104" s="195">
        <v>1</v>
      </c>
      <c r="E104" s="194" t="s">
        <v>119</v>
      </c>
      <c r="F104" s="196">
        <f>197292*1.19</f>
        <v>234777.47999999998</v>
      </c>
      <c r="G104" s="196">
        <f t="shared" si="3"/>
        <v>234777.47999999998</v>
      </c>
    </row>
    <row r="105" spans="1:7" ht="12.75" customHeight="1" x14ac:dyDescent="0.3">
      <c r="A105" s="56"/>
      <c r="B105" s="193" t="s">
        <v>144</v>
      </c>
      <c r="C105" s="194" t="s">
        <v>142</v>
      </c>
      <c r="D105" s="195">
        <v>5</v>
      </c>
      <c r="E105" s="194" t="s">
        <v>143</v>
      </c>
      <c r="F105" s="196">
        <f>1728*1.19</f>
        <v>2056.3199999999997</v>
      </c>
      <c r="G105" s="196">
        <f t="shared" si="3"/>
        <v>10281.599999999999</v>
      </c>
    </row>
    <row r="106" spans="1:7" ht="12.75" customHeight="1" x14ac:dyDescent="0.3">
      <c r="A106" s="56"/>
      <c r="B106" s="193" t="s">
        <v>124</v>
      </c>
      <c r="C106" s="194" t="s">
        <v>94</v>
      </c>
      <c r="D106" s="195">
        <v>1</v>
      </c>
      <c r="E106" s="194" t="s">
        <v>125</v>
      </c>
      <c r="F106" s="196">
        <f>64717*1.19</f>
        <v>77013.23</v>
      </c>
      <c r="G106" s="196">
        <f t="shared" si="3"/>
        <v>77013.23</v>
      </c>
    </row>
    <row r="107" spans="1:7" ht="12.75" customHeight="1" x14ac:dyDescent="0.3">
      <c r="A107" s="56"/>
      <c r="B107" s="193" t="s">
        <v>154</v>
      </c>
      <c r="C107" s="194" t="s">
        <v>60</v>
      </c>
      <c r="D107" s="195">
        <v>1</v>
      </c>
      <c r="E107" s="194" t="s">
        <v>173</v>
      </c>
      <c r="F107" s="196">
        <v>205368</v>
      </c>
      <c r="G107" s="196">
        <f t="shared" si="3"/>
        <v>205368</v>
      </c>
    </row>
    <row r="108" spans="1:7" ht="12.75" customHeight="1" x14ac:dyDescent="0.3">
      <c r="A108" s="56"/>
      <c r="B108" s="197" t="s">
        <v>156</v>
      </c>
      <c r="C108" s="194"/>
      <c r="D108" s="195"/>
      <c r="E108" s="194"/>
      <c r="F108" s="196"/>
      <c r="G108" s="196"/>
    </row>
    <row r="109" spans="1:7" ht="12.75" customHeight="1" x14ac:dyDescent="0.3">
      <c r="A109" s="56"/>
      <c r="B109" s="170" t="s">
        <v>172</v>
      </c>
      <c r="C109" s="171" t="s">
        <v>162</v>
      </c>
      <c r="D109" s="172">
        <v>6</v>
      </c>
      <c r="E109" s="169" t="s">
        <v>134</v>
      </c>
      <c r="F109" s="173">
        <f>38500*1.19</f>
        <v>45815</v>
      </c>
      <c r="G109" s="173">
        <f t="shared" si="3"/>
        <v>274890</v>
      </c>
    </row>
    <row r="110" spans="1:7" ht="12.75" customHeight="1" x14ac:dyDescent="0.3">
      <c r="A110" s="56"/>
      <c r="B110" s="136" t="s">
        <v>157</v>
      </c>
      <c r="C110" s="94"/>
      <c r="D110" s="96"/>
      <c r="E110" s="94"/>
      <c r="F110" s="97"/>
      <c r="G110" s="97">
        <f t="shared" si="3"/>
        <v>0</v>
      </c>
    </row>
    <row r="111" spans="1:7" ht="12.75" customHeight="1" x14ac:dyDescent="0.3">
      <c r="A111" s="56"/>
      <c r="B111" s="99" t="s">
        <v>158</v>
      </c>
      <c r="C111" s="94" t="s">
        <v>160</v>
      </c>
      <c r="D111" s="96">
        <v>20</v>
      </c>
      <c r="E111" s="169" t="s">
        <v>134</v>
      </c>
      <c r="F111" s="97">
        <f>2250*1.19</f>
        <v>2677.5</v>
      </c>
      <c r="G111" s="97">
        <f t="shared" si="3"/>
        <v>53550</v>
      </c>
    </row>
    <row r="112" spans="1:7" ht="12.75" customHeight="1" x14ac:dyDescent="0.3">
      <c r="A112" s="56"/>
      <c r="B112" s="144" t="s">
        <v>135</v>
      </c>
      <c r="C112" s="199" t="s">
        <v>159</v>
      </c>
      <c r="D112" s="152">
        <f>2/2</f>
        <v>1</v>
      </c>
      <c r="E112" s="169" t="s">
        <v>134</v>
      </c>
      <c r="F112" s="152">
        <f>56000*1.19</f>
        <v>66640</v>
      </c>
      <c r="G112" s="152">
        <f>F112*D112</f>
        <v>66640</v>
      </c>
    </row>
    <row r="113" spans="1:7" ht="12.75" customHeight="1" x14ac:dyDescent="0.3">
      <c r="A113" s="56"/>
      <c r="B113" s="99"/>
      <c r="C113" s="94"/>
      <c r="D113" s="96"/>
      <c r="E113" s="94"/>
      <c r="F113" s="97"/>
      <c r="G113" s="97"/>
    </row>
    <row r="114" spans="1:7" ht="13.5" customHeight="1" x14ac:dyDescent="0.3">
      <c r="A114" s="56"/>
      <c r="B114" s="121" t="s">
        <v>30</v>
      </c>
      <c r="C114" s="122"/>
      <c r="D114" s="122"/>
      <c r="E114" s="122"/>
      <c r="F114" s="123"/>
      <c r="G114" s="130">
        <f>SUM(G58:G112)</f>
        <v>20328978.436507881</v>
      </c>
    </row>
    <row r="115" spans="1:7" ht="12" customHeight="1" x14ac:dyDescent="0.3">
      <c r="A115" s="2"/>
      <c r="B115" s="116"/>
      <c r="C115" s="117"/>
      <c r="D115" s="117"/>
      <c r="E115" s="118"/>
      <c r="F115" s="119"/>
      <c r="G115" s="120"/>
    </row>
    <row r="116" spans="1:7" ht="12" customHeight="1" x14ac:dyDescent="0.3">
      <c r="A116" s="5"/>
      <c r="B116" s="29" t="s">
        <v>31</v>
      </c>
      <c r="C116" s="30"/>
      <c r="D116" s="31"/>
      <c r="E116" s="31"/>
      <c r="F116" s="32"/>
      <c r="G116" s="106"/>
    </row>
    <row r="117" spans="1:7" ht="24" customHeight="1" x14ac:dyDescent="0.3">
      <c r="A117" s="5"/>
      <c r="B117" s="115" t="s">
        <v>32</v>
      </c>
      <c r="C117" s="95" t="s">
        <v>28</v>
      </c>
      <c r="D117" s="95" t="s">
        <v>29</v>
      </c>
      <c r="E117" s="115" t="s">
        <v>17</v>
      </c>
      <c r="F117" s="95" t="s">
        <v>18</v>
      </c>
      <c r="G117" s="115" t="s">
        <v>19</v>
      </c>
    </row>
    <row r="118" spans="1:7" ht="16.5" customHeight="1" x14ac:dyDescent="0.3">
      <c r="A118" s="56"/>
      <c r="B118" s="174" t="s">
        <v>131</v>
      </c>
      <c r="C118" s="174" t="s">
        <v>132</v>
      </c>
      <c r="D118" s="174">
        <v>6</v>
      </c>
      <c r="E118" s="174" t="s">
        <v>133</v>
      </c>
      <c r="F118" s="175">
        <v>100000</v>
      </c>
      <c r="G118" s="175">
        <f t="shared" ref="G118" si="4">F118*D118</f>
        <v>600000</v>
      </c>
    </row>
    <row r="119" spans="1:7" ht="13.5" customHeight="1" x14ac:dyDescent="0.3">
      <c r="A119" s="5"/>
      <c r="B119" s="153" t="s">
        <v>33</v>
      </c>
      <c r="C119" s="47"/>
      <c r="D119" s="47"/>
      <c r="E119" s="114"/>
      <c r="F119" s="48"/>
      <c r="G119" s="131">
        <f>SUM(G118)</f>
        <v>600000</v>
      </c>
    </row>
    <row r="120" spans="1:7" ht="12" customHeight="1" x14ac:dyDescent="0.3">
      <c r="A120" s="2"/>
      <c r="B120" s="59"/>
      <c r="C120" s="59"/>
      <c r="D120" s="59"/>
      <c r="E120" s="59"/>
      <c r="F120" s="60"/>
      <c r="G120" s="109"/>
    </row>
    <row r="121" spans="1:7" ht="12" customHeight="1" x14ac:dyDescent="0.3">
      <c r="A121" s="56"/>
      <c r="B121" s="61" t="s">
        <v>34</v>
      </c>
      <c r="C121" s="62"/>
      <c r="D121" s="62"/>
      <c r="E121" s="62"/>
      <c r="F121" s="62"/>
      <c r="G121" s="63">
        <f>G43+G48+G54+G114+G119</f>
        <v>39438458.436507881</v>
      </c>
    </row>
    <row r="122" spans="1:7" ht="12" customHeight="1" x14ac:dyDescent="0.3">
      <c r="A122" s="56"/>
      <c r="B122" s="64" t="s">
        <v>35</v>
      </c>
      <c r="C122" s="50"/>
      <c r="D122" s="50"/>
      <c r="E122" s="50"/>
      <c r="F122" s="50"/>
      <c r="G122" s="65">
        <f>G121*0.05</f>
        <v>1971922.921825394</v>
      </c>
    </row>
    <row r="123" spans="1:7" ht="12" customHeight="1" x14ac:dyDescent="0.3">
      <c r="A123" s="56"/>
      <c r="B123" s="66" t="s">
        <v>36</v>
      </c>
      <c r="C123" s="49"/>
      <c r="D123" s="49"/>
      <c r="E123" s="49"/>
      <c r="F123" s="49"/>
      <c r="G123" s="67">
        <f>G122+G121</f>
        <v>41410381.358333275</v>
      </c>
    </row>
    <row r="124" spans="1:7" ht="12" customHeight="1" x14ac:dyDescent="0.3">
      <c r="A124" s="56"/>
      <c r="B124" s="64" t="s">
        <v>37</v>
      </c>
      <c r="C124" s="50"/>
      <c r="D124" s="50"/>
      <c r="E124" s="50"/>
      <c r="F124" s="50"/>
      <c r="G124" s="65">
        <f>G12</f>
        <v>50000000</v>
      </c>
    </row>
    <row r="125" spans="1:7" ht="12" customHeight="1" x14ac:dyDescent="0.3">
      <c r="A125" s="56"/>
      <c r="B125" s="68" t="s">
        <v>38</v>
      </c>
      <c r="C125" s="69"/>
      <c r="D125" s="69"/>
      <c r="E125" s="69"/>
      <c r="F125" s="69"/>
      <c r="G125" s="63">
        <f>G124-G123</f>
        <v>8589618.6416667253</v>
      </c>
    </row>
    <row r="126" spans="1:7" ht="12" customHeight="1" x14ac:dyDescent="0.3">
      <c r="A126" s="56"/>
      <c r="B126" s="57" t="s">
        <v>39</v>
      </c>
      <c r="C126" s="58"/>
      <c r="D126" s="58"/>
      <c r="E126" s="58"/>
      <c r="F126" s="58"/>
      <c r="G126" s="110"/>
    </row>
    <row r="127" spans="1:7" ht="12.75" customHeight="1" thickBot="1" x14ac:dyDescent="0.35">
      <c r="A127" s="56"/>
      <c r="B127" s="70"/>
      <c r="C127" s="58"/>
      <c r="D127" s="58"/>
      <c r="E127" s="58"/>
      <c r="F127" s="58"/>
      <c r="G127" s="110"/>
    </row>
    <row r="128" spans="1:7" ht="12" customHeight="1" x14ac:dyDescent="0.3">
      <c r="A128" s="56"/>
      <c r="B128" s="81" t="s">
        <v>40</v>
      </c>
      <c r="C128" s="82"/>
      <c r="D128" s="82"/>
      <c r="E128" s="82"/>
      <c r="F128" s="83"/>
      <c r="G128" s="110"/>
    </row>
    <row r="129" spans="1:7" ht="12" customHeight="1" x14ac:dyDescent="0.3">
      <c r="A129" s="56"/>
      <c r="B129" s="84" t="s">
        <v>41</v>
      </c>
      <c r="C129" s="55"/>
      <c r="D129" s="55"/>
      <c r="E129" s="55"/>
      <c r="F129" s="85"/>
      <c r="G129" s="110"/>
    </row>
    <row r="130" spans="1:7" ht="12" customHeight="1" x14ac:dyDescent="0.3">
      <c r="A130" s="56"/>
      <c r="B130" s="84" t="s">
        <v>42</v>
      </c>
      <c r="C130" s="55"/>
      <c r="D130" s="55"/>
      <c r="E130" s="55"/>
      <c r="F130" s="85"/>
      <c r="G130" s="110"/>
    </row>
    <row r="131" spans="1:7" ht="12" customHeight="1" x14ac:dyDescent="0.3">
      <c r="A131" s="56"/>
      <c r="B131" s="84" t="s">
        <v>43</v>
      </c>
      <c r="C131" s="55"/>
      <c r="D131" s="55"/>
      <c r="E131" s="55"/>
      <c r="F131" s="85"/>
      <c r="G131" s="110"/>
    </row>
    <row r="132" spans="1:7" ht="12" customHeight="1" x14ac:dyDescent="0.3">
      <c r="A132" s="56"/>
      <c r="B132" s="84" t="s">
        <v>44</v>
      </c>
      <c r="C132" s="55"/>
      <c r="D132" s="55"/>
      <c r="E132" s="55"/>
      <c r="F132" s="85"/>
      <c r="G132" s="110"/>
    </row>
    <row r="133" spans="1:7" ht="12" customHeight="1" x14ac:dyDescent="0.3">
      <c r="A133" s="56"/>
      <c r="B133" s="84" t="s">
        <v>45</v>
      </c>
      <c r="C133" s="55"/>
      <c r="D133" s="55"/>
      <c r="E133" s="55"/>
      <c r="F133" s="85"/>
      <c r="G133" s="110"/>
    </row>
    <row r="134" spans="1:7" ht="12.75" customHeight="1" thickBot="1" x14ac:dyDescent="0.35">
      <c r="A134" s="56"/>
      <c r="B134" s="86" t="s">
        <v>46</v>
      </c>
      <c r="C134" s="87"/>
      <c r="D134" s="87"/>
      <c r="E134" s="87"/>
      <c r="F134" s="88"/>
      <c r="G134" s="110"/>
    </row>
    <row r="135" spans="1:7" ht="12.75" customHeight="1" x14ac:dyDescent="0.3">
      <c r="A135" s="56"/>
      <c r="B135" s="79"/>
      <c r="C135" s="55"/>
      <c r="D135" s="55"/>
      <c r="E135" s="55"/>
      <c r="F135" s="55"/>
      <c r="G135" s="110"/>
    </row>
    <row r="136" spans="1:7" ht="15" customHeight="1" thickBot="1" x14ac:dyDescent="0.35">
      <c r="A136" s="56"/>
      <c r="B136" s="212" t="s">
        <v>47</v>
      </c>
      <c r="C136" s="213"/>
      <c r="D136" s="78"/>
      <c r="E136" s="51"/>
      <c r="F136" s="51"/>
      <c r="G136" s="110"/>
    </row>
    <row r="137" spans="1:7" ht="12" customHeight="1" x14ac:dyDescent="0.3">
      <c r="A137" s="56"/>
      <c r="B137" s="72" t="s">
        <v>32</v>
      </c>
      <c r="C137" s="132" t="s">
        <v>48</v>
      </c>
      <c r="D137" s="133" t="s">
        <v>49</v>
      </c>
      <c r="E137" s="51"/>
      <c r="F137" s="51"/>
      <c r="G137" s="110"/>
    </row>
    <row r="138" spans="1:7" ht="12" customHeight="1" x14ac:dyDescent="0.3">
      <c r="A138" s="56"/>
      <c r="B138" s="73" t="s">
        <v>50</v>
      </c>
      <c r="C138" s="52">
        <f>G43</f>
        <v>17325000</v>
      </c>
      <c r="D138" s="74">
        <f>(C138/C144)</f>
        <v>0.41837335063598924</v>
      </c>
      <c r="E138" s="51"/>
      <c r="F138" s="51"/>
      <c r="G138" s="110"/>
    </row>
    <row r="139" spans="1:7" ht="12" customHeight="1" x14ac:dyDescent="0.3">
      <c r="A139" s="56"/>
      <c r="B139" s="73" t="s">
        <v>51</v>
      </c>
      <c r="C139" s="52">
        <f>G48</f>
        <v>0</v>
      </c>
      <c r="D139" s="74">
        <v>0</v>
      </c>
      <c r="E139" s="51"/>
      <c r="F139" s="51"/>
      <c r="G139" s="110"/>
    </row>
    <row r="140" spans="1:7" ht="12" customHeight="1" x14ac:dyDescent="0.3">
      <c r="A140" s="56"/>
      <c r="B140" s="73" t="s">
        <v>52</v>
      </c>
      <c r="C140" s="52">
        <f>G54</f>
        <v>1184480</v>
      </c>
      <c r="D140" s="74">
        <f>(C140/C144)</f>
        <v>2.8603455489830679E-2</v>
      </c>
      <c r="E140" s="51"/>
      <c r="F140" s="51"/>
      <c r="G140" s="110"/>
    </row>
    <row r="141" spans="1:7" ht="12" customHeight="1" x14ac:dyDescent="0.3">
      <c r="A141" s="56"/>
      <c r="B141" s="73" t="s">
        <v>27</v>
      </c>
      <c r="C141" s="52">
        <f>G114</f>
        <v>20328978.436507881</v>
      </c>
      <c r="D141" s="74">
        <f>(C141/C144)</f>
        <v>0.49091502588678648</v>
      </c>
      <c r="E141" s="51"/>
      <c r="F141" s="51"/>
      <c r="G141" s="110"/>
    </row>
    <row r="142" spans="1:7" ht="12" customHeight="1" x14ac:dyDescent="0.3">
      <c r="A142" s="56"/>
      <c r="B142" s="73" t="s">
        <v>53</v>
      </c>
      <c r="C142" s="53">
        <f>G119</f>
        <v>600000</v>
      </c>
      <c r="D142" s="74">
        <f>(C142/C144)</f>
        <v>1.4489120368345949E-2</v>
      </c>
      <c r="E142" s="54"/>
      <c r="F142" s="54"/>
      <c r="G142" s="110"/>
    </row>
    <row r="143" spans="1:7" ht="12" customHeight="1" x14ac:dyDescent="0.3">
      <c r="A143" s="56"/>
      <c r="B143" s="73" t="s">
        <v>54</v>
      </c>
      <c r="C143" s="53">
        <f>G122</f>
        <v>1971922.921825394</v>
      </c>
      <c r="D143" s="74">
        <f>(C143/C144)</f>
        <v>4.7619047619047616E-2</v>
      </c>
      <c r="E143" s="54"/>
      <c r="F143" s="54"/>
      <c r="G143" s="110"/>
    </row>
    <row r="144" spans="1:7" ht="12.75" customHeight="1" thickBot="1" x14ac:dyDescent="0.35">
      <c r="A144" s="56"/>
      <c r="B144" s="75" t="s">
        <v>55</v>
      </c>
      <c r="C144" s="76">
        <f>SUM(C138:C143)</f>
        <v>41410381.358333275</v>
      </c>
      <c r="D144" s="77">
        <f>SUM(D138:D143)</f>
        <v>1</v>
      </c>
      <c r="E144" s="54"/>
      <c r="F144" s="54"/>
      <c r="G144" s="110"/>
    </row>
    <row r="145" spans="1:7" ht="12" customHeight="1" x14ac:dyDescent="0.3">
      <c r="A145" s="56"/>
      <c r="B145" s="70"/>
      <c r="C145" s="58"/>
      <c r="D145" s="58"/>
      <c r="E145" s="58"/>
      <c r="F145" s="58"/>
      <c r="G145" s="110"/>
    </row>
    <row r="146" spans="1:7" ht="12.75" customHeight="1" thickBot="1" x14ac:dyDescent="0.35">
      <c r="A146" s="56"/>
      <c r="B146" s="71"/>
      <c r="C146" s="58"/>
      <c r="D146" s="58"/>
      <c r="E146" s="58"/>
      <c r="F146" s="58"/>
      <c r="G146" s="110"/>
    </row>
    <row r="147" spans="1:7" ht="12" customHeight="1" thickBot="1" x14ac:dyDescent="0.35">
      <c r="A147" s="56"/>
      <c r="B147" s="209" t="s">
        <v>139</v>
      </c>
      <c r="C147" s="210"/>
      <c r="D147" s="210"/>
      <c r="E147" s="211"/>
      <c r="F147" s="54"/>
      <c r="G147" s="110"/>
    </row>
    <row r="148" spans="1:7" ht="12" customHeight="1" x14ac:dyDescent="0.3">
      <c r="A148" s="56"/>
      <c r="B148" s="90" t="s">
        <v>136</v>
      </c>
      <c r="C148" s="124">
        <v>110000</v>
      </c>
      <c r="D148" s="124">
        <f>G9</f>
        <v>125000</v>
      </c>
      <c r="E148" s="124">
        <v>135000</v>
      </c>
      <c r="F148" s="89"/>
      <c r="G148" s="111"/>
    </row>
    <row r="149" spans="1:7" ht="12.75" customHeight="1" thickBot="1" x14ac:dyDescent="0.35">
      <c r="A149" s="56"/>
      <c r="B149" s="75" t="s">
        <v>137</v>
      </c>
      <c r="C149" s="198">
        <f>G123/C148</f>
        <v>376.45801234848432</v>
      </c>
      <c r="D149" s="76">
        <f>(G123/D148)</f>
        <v>331.2830508666662</v>
      </c>
      <c r="E149" s="91">
        <f>(G123/E148)</f>
        <v>306.74356561728354</v>
      </c>
      <c r="F149" s="89"/>
      <c r="G149" s="111"/>
    </row>
    <row r="150" spans="1:7" ht="15.6" customHeight="1" x14ac:dyDescent="0.3">
      <c r="A150" s="56"/>
      <c r="B150" s="80" t="s">
        <v>56</v>
      </c>
      <c r="C150" s="55"/>
      <c r="D150" s="55"/>
      <c r="E150" s="55"/>
      <c r="F150" s="55"/>
      <c r="G150" s="112"/>
    </row>
  </sheetData>
  <mergeCells count="9">
    <mergeCell ref="E9:F9"/>
    <mergeCell ref="E14:F14"/>
    <mergeCell ref="E15:F15"/>
    <mergeCell ref="B17:G17"/>
    <mergeCell ref="B147:E147"/>
    <mergeCell ref="B136:C136"/>
    <mergeCell ref="E13:F13"/>
    <mergeCell ref="E11:F11"/>
    <mergeCell ref="E10:F10"/>
  </mergeCells>
  <phoneticPr fontId="27" type="noConversion"/>
  <pageMargins left="0.25" right="0.25" top="0.14000000000000001" bottom="1.24" header="0.12" footer="1.22"/>
  <pageSetup paperSize="5" scale="99" fitToHeight="0" orientation="portrait" r:id="rId1"/>
  <headerFooter>
    <oddFooter>&amp;C&amp;"Helvetica Neue,Regular"&amp;12&amp;K000000&amp;P</oddFooter>
  </headerFooter>
  <rowBreaks count="2" manualBreakCount="2">
    <brk id="55" min="1" max="6" man="1"/>
    <brk id="113" min="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150"/>
  <sheetViews>
    <sheetView tabSelected="1" topLeftCell="B1" zoomScale="110" zoomScaleNormal="110" workbookViewId="0">
      <selection activeCell="H38" sqref="H38"/>
    </sheetView>
  </sheetViews>
  <sheetFormatPr baseColWidth="10" defaultColWidth="10.88671875" defaultRowHeight="11.25" customHeight="1" x14ac:dyDescent="0.3"/>
  <cols>
    <col min="1" max="1" width="15.5546875" style="1" customWidth="1"/>
    <col min="2" max="2" width="21.33203125" style="1" customWidth="1"/>
    <col min="3" max="3" width="20.33203125" style="1" customWidth="1"/>
    <col min="4" max="4" width="14.88671875" style="1" customWidth="1"/>
    <col min="5" max="5" width="14.44140625" style="1" customWidth="1"/>
    <col min="6" max="6" width="18.6640625" style="1" customWidth="1"/>
    <col min="7" max="7" width="17.109375" style="113" customWidth="1"/>
    <col min="8" max="234" width="10.88671875" style="1" customWidth="1"/>
  </cols>
  <sheetData>
    <row r="1" spans="1:7" ht="15" customHeight="1" x14ac:dyDescent="0.3">
      <c r="A1" s="2"/>
      <c r="B1" s="2"/>
      <c r="C1" s="2"/>
      <c r="D1" s="2"/>
      <c r="E1" s="2"/>
      <c r="F1" s="2"/>
      <c r="G1" s="100"/>
    </row>
    <row r="2" spans="1:7" ht="15" customHeight="1" x14ac:dyDescent="0.3">
      <c r="A2" s="2"/>
      <c r="B2" s="2"/>
      <c r="C2" s="2"/>
      <c r="D2" s="2"/>
      <c r="E2" s="2"/>
      <c r="F2" s="2"/>
      <c r="G2" s="100"/>
    </row>
    <row r="3" spans="1:7" ht="15" customHeight="1" x14ac:dyDescent="0.3">
      <c r="A3" s="2"/>
      <c r="B3" s="2"/>
      <c r="C3" s="2"/>
      <c r="D3" s="2"/>
      <c r="E3" s="2"/>
      <c r="F3" s="2"/>
      <c r="G3" s="100"/>
    </row>
    <row r="4" spans="1:7" ht="15" customHeight="1" x14ac:dyDescent="0.3">
      <c r="A4" s="2"/>
      <c r="B4" s="2"/>
      <c r="C4" s="2"/>
      <c r="D4" s="2"/>
      <c r="E4" s="2"/>
      <c r="F4" s="2"/>
      <c r="G4" s="100"/>
    </row>
    <row r="5" spans="1:7" ht="15" customHeight="1" x14ac:dyDescent="0.3">
      <c r="A5" s="2"/>
      <c r="B5" s="2"/>
      <c r="C5" s="2"/>
      <c r="D5" s="2"/>
      <c r="E5" s="2"/>
      <c r="F5" s="2"/>
      <c r="G5" s="100"/>
    </row>
    <row r="6" spans="1:7" ht="15" customHeight="1" x14ac:dyDescent="0.3">
      <c r="A6" s="2"/>
      <c r="B6" s="2"/>
      <c r="C6" s="2"/>
      <c r="D6" s="2"/>
      <c r="E6" s="2"/>
      <c r="F6" s="2"/>
      <c r="G6" s="100"/>
    </row>
    <row r="7" spans="1:7" ht="15" customHeight="1" x14ac:dyDescent="0.3">
      <c r="A7" s="2"/>
      <c r="B7" s="2"/>
      <c r="C7" s="2"/>
      <c r="D7" s="2"/>
      <c r="E7" s="2"/>
      <c r="F7" s="2"/>
      <c r="G7" s="100"/>
    </row>
    <row r="8" spans="1:7" ht="15" customHeight="1" x14ac:dyDescent="0.3">
      <c r="A8" s="2"/>
      <c r="B8" s="3"/>
      <c r="C8" s="4"/>
      <c r="D8" s="2"/>
      <c r="E8" s="4"/>
      <c r="F8" s="4"/>
      <c r="G8" s="101"/>
    </row>
    <row r="9" spans="1:7" ht="12" customHeight="1" x14ac:dyDescent="0.3">
      <c r="A9" s="5"/>
      <c r="B9" s="6" t="s">
        <v>0</v>
      </c>
      <c r="C9" s="137" t="s">
        <v>63</v>
      </c>
      <c r="D9" s="7"/>
      <c r="E9" s="201" t="s">
        <v>65</v>
      </c>
      <c r="F9" s="202"/>
      <c r="G9" s="188">
        <v>125000</v>
      </c>
    </row>
    <row r="10" spans="1:7" ht="18" customHeight="1" x14ac:dyDescent="0.3">
      <c r="A10" s="5"/>
      <c r="B10" s="214" t="s">
        <v>1</v>
      </c>
      <c r="C10" s="215" t="s">
        <v>146</v>
      </c>
      <c r="D10" s="7"/>
      <c r="E10" s="216" t="s">
        <v>2</v>
      </c>
      <c r="F10" s="217"/>
      <c r="G10" s="218" t="s">
        <v>126</v>
      </c>
    </row>
    <row r="11" spans="1:7" ht="18" customHeight="1" x14ac:dyDescent="0.3">
      <c r="A11" s="5"/>
      <c r="B11" s="214" t="s">
        <v>3</v>
      </c>
      <c r="C11" s="215" t="s">
        <v>147</v>
      </c>
      <c r="D11" s="7"/>
      <c r="E11" s="216" t="s">
        <v>161</v>
      </c>
      <c r="F11" s="217"/>
      <c r="G11" s="219">
        <v>400</v>
      </c>
    </row>
    <row r="12" spans="1:7" ht="11.25" customHeight="1" x14ac:dyDescent="0.3">
      <c r="A12" s="5"/>
      <c r="B12" s="214" t="s">
        <v>4</v>
      </c>
      <c r="C12" s="220" t="s">
        <v>64</v>
      </c>
      <c r="D12" s="7"/>
      <c r="E12" s="221" t="s">
        <v>5</v>
      </c>
      <c r="F12" s="222"/>
      <c r="G12" s="223">
        <f>G11*G9</f>
        <v>50000000</v>
      </c>
    </row>
    <row r="13" spans="1:7" ht="11.25" customHeight="1" x14ac:dyDescent="0.3">
      <c r="A13" s="5"/>
      <c r="B13" s="214" t="s">
        <v>6</v>
      </c>
      <c r="C13" s="220" t="s">
        <v>141</v>
      </c>
      <c r="D13" s="7"/>
      <c r="E13" s="216" t="s">
        <v>7</v>
      </c>
      <c r="F13" s="217"/>
      <c r="G13" s="218" t="s">
        <v>127</v>
      </c>
    </row>
    <row r="14" spans="1:7" ht="13.5" customHeight="1" x14ac:dyDescent="0.3">
      <c r="A14" s="5"/>
      <c r="B14" s="214" t="s">
        <v>8</v>
      </c>
      <c r="C14" s="220" t="s">
        <v>62</v>
      </c>
      <c r="D14" s="7"/>
      <c r="E14" s="216" t="s">
        <v>9</v>
      </c>
      <c r="F14" s="217"/>
      <c r="G14" s="218" t="s">
        <v>126</v>
      </c>
    </row>
    <row r="15" spans="1:7" ht="16.5" customHeight="1" x14ac:dyDescent="0.3">
      <c r="A15" s="5"/>
      <c r="B15" s="214" t="s">
        <v>10</v>
      </c>
      <c r="C15" s="224">
        <v>44713</v>
      </c>
      <c r="D15" s="7"/>
      <c r="E15" s="225" t="s">
        <v>11</v>
      </c>
      <c r="F15" s="226"/>
      <c r="G15" s="227" t="s">
        <v>128</v>
      </c>
    </row>
    <row r="16" spans="1:7" ht="12" customHeight="1" x14ac:dyDescent="0.3">
      <c r="A16" s="2"/>
      <c r="B16" s="12"/>
      <c r="C16" s="13"/>
      <c r="D16" s="14"/>
      <c r="E16" s="15"/>
      <c r="F16" s="15"/>
      <c r="G16" s="102"/>
    </row>
    <row r="17" spans="1:7" ht="12" customHeight="1" x14ac:dyDescent="0.3">
      <c r="A17" s="16"/>
      <c r="B17" s="207" t="s">
        <v>12</v>
      </c>
      <c r="C17" s="208"/>
      <c r="D17" s="208"/>
      <c r="E17" s="208"/>
      <c r="F17" s="208"/>
      <c r="G17" s="208"/>
    </row>
    <row r="18" spans="1:7" ht="12" customHeight="1" x14ac:dyDescent="0.3">
      <c r="A18" s="2"/>
      <c r="B18" s="17"/>
      <c r="C18" s="18"/>
      <c r="D18" s="18"/>
      <c r="E18" s="18"/>
      <c r="F18" s="19"/>
      <c r="G18" s="103"/>
    </row>
    <row r="19" spans="1:7" ht="12" customHeight="1" x14ac:dyDescent="0.3">
      <c r="A19" s="5"/>
      <c r="B19" s="20" t="s">
        <v>13</v>
      </c>
      <c r="C19" s="21"/>
      <c r="D19" s="22"/>
      <c r="E19" s="22"/>
      <c r="F19" s="22"/>
      <c r="G19" s="104"/>
    </row>
    <row r="20" spans="1:7" ht="24" customHeight="1" x14ac:dyDescent="0.3">
      <c r="A20" s="16"/>
      <c r="B20" s="23" t="s">
        <v>14</v>
      </c>
      <c r="C20" s="23" t="s">
        <v>15</v>
      </c>
      <c r="D20" s="23" t="s">
        <v>16</v>
      </c>
      <c r="E20" s="23" t="s">
        <v>17</v>
      </c>
      <c r="F20" s="23" t="s">
        <v>18</v>
      </c>
      <c r="G20" s="23" t="s">
        <v>19</v>
      </c>
    </row>
    <row r="21" spans="1:7" ht="27" customHeight="1" x14ac:dyDescent="0.3">
      <c r="A21" s="16"/>
      <c r="B21" s="139" t="s">
        <v>177</v>
      </c>
      <c r="C21" s="24"/>
      <c r="D21" s="93"/>
      <c r="E21" s="24"/>
      <c r="F21" s="125"/>
      <c r="G21" s="125"/>
    </row>
    <row r="22" spans="1:7" ht="25.5" customHeight="1" x14ac:dyDescent="0.3">
      <c r="A22" s="16"/>
      <c r="B22" s="179" t="s">
        <v>176</v>
      </c>
      <c r="C22" s="179" t="s">
        <v>20</v>
      </c>
      <c r="D22" s="180">
        <v>18</v>
      </c>
      <c r="E22" s="179" t="s">
        <v>66</v>
      </c>
      <c r="F22" s="181">
        <v>78000</v>
      </c>
      <c r="G22" s="181">
        <f>D22*F22/3</f>
        <v>468000</v>
      </c>
    </row>
    <row r="23" spans="1:7" ht="12.75" customHeight="1" x14ac:dyDescent="0.3">
      <c r="A23" s="16"/>
      <c r="B23" s="182" t="s">
        <v>183</v>
      </c>
      <c r="C23" s="183"/>
      <c r="D23" s="184"/>
      <c r="E23" s="183"/>
      <c r="F23" s="185"/>
      <c r="G23" s="185"/>
    </row>
    <row r="24" spans="1:7" ht="12.75" customHeight="1" x14ac:dyDescent="0.3">
      <c r="A24" s="16"/>
      <c r="B24" s="186" t="s">
        <v>68</v>
      </c>
      <c r="C24" s="183" t="s">
        <v>20</v>
      </c>
      <c r="D24" s="184">
        <v>12</v>
      </c>
      <c r="E24" s="183" t="s">
        <v>69</v>
      </c>
      <c r="F24" s="185">
        <v>26000</v>
      </c>
      <c r="G24" s="185">
        <f t="shared" ref="G24:G42" si="0">D24*F24</f>
        <v>312000</v>
      </c>
    </row>
    <row r="25" spans="1:7" ht="12.75" customHeight="1" x14ac:dyDescent="0.3">
      <c r="A25" s="16"/>
      <c r="B25" s="186" t="s">
        <v>70</v>
      </c>
      <c r="C25" s="200" t="s">
        <v>20</v>
      </c>
      <c r="D25" s="184">
        <v>3</v>
      </c>
      <c r="E25" s="183" t="s">
        <v>69</v>
      </c>
      <c r="F25" s="185">
        <v>26000</v>
      </c>
      <c r="G25" s="185">
        <f t="shared" si="0"/>
        <v>78000</v>
      </c>
    </row>
    <row r="26" spans="1:7" ht="12.75" customHeight="1" x14ac:dyDescent="0.3">
      <c r="A26" s="16"/>
      <c r="B26" s="186" t="s">
        <v>71</v>
      </c>
      <c r="C26" s="183" t="s">
        <v>20</v>
      </c>
      <c r="D26" s="184">
        <v>0.5</v>
      </c>
      <c r="E26" s="183" t="s">
        <v>69</v>
      </c>
      <c r="F26" s="185">
        <v>26000</v>
      </c>
      <c r="G26" s="185">
        <f t="shared" si="0"/>
        <v>13000</v>
      </c>
    </row>
    <row r="27" spans="1:7" ht="12.75" customHeight="1" x14ac:dyDescent="0.3">
      <c r="A27" s="16"/>
      <c r="B27" s="186" t="s">
        <v>72</v>
      </c>
      <c r="C27" s="183" t="s">
        <v>20</v>
      </c>
      <c r="D27" s="184">
        <v>11</v>
      </c>
      <c r="E27" s="183" t="s">
        <v>73</v>
      </c>
      <c r="F27" s="185">
        <v>26000</v>
      </c>
      <c r="G27" s="185">
        <f t="shared" si="0"/>
        <v>286000</v>
      </c>
    </row>
    <row r="28" spans="1:7" ht="12.75" customHeight="1" x14ac:dyDescent="0.3">
      <c r="A28" s="16"/>
      <c r="B28" s="186" t="s">
        <v>74</v>
      </c>
      <c r="C28" s="183" t="s">
        <v>20</v>
      </c>
      <c r="D28" s="184">
        <v>3</v>
      </c>
      <c r="E28" s="183" t="s">
        <v>75</v>
      </c>
      <c r="F28" s="185">
        <v>26000</v>
      </c>
      <c r="G28" s="185">
        <f t="shared" si="0"/>
        <v>78000</v>
      </c>
    </row>
    <row r="29" spans="1:7" ht="12.75" customHeight="1" x14ac:dyDescent="0.3">
      <c r="A29" s="16"/>
      <c r="B29" s="186" t="s">
        <v>76</v>
      </c>
      <c r="C29" s="183" t="s">
        <v>20</v>
      </c>
      <c r="D29" s="184">
        <v>10</v>
      </c>
      <c r="E29" s="183" t="s">
        <v>77</v>
      </c>
      <c r="F29" s="185">
        <v>26000</v>
      </c>
      <c r="G29" s="185">
        <f t="shared" si="0"/>
        <v>260000</v>
      </c>
    </row>
    <row r="30" spans="1:7" ht="12.75" customHeight="1" x14ac:dyDescent="0.3">
      <c r="A30" s="16"/>
      <c r="B30" s="186" t="s">
        <v>78</v>
      </c>
      <c r="C30" s="183" t="s">
        <v>20</v>
      </c>
      <c r="D30" s="184">
        <v>12</v>
      </c>
      <c r="E30" s="183" t="s">
        <v>79</v>
      </c>
      <c r="F30" s="185">
        <v>26000</v>
      </c>
      <c r="G30" s="185">
        <f t="shared" si="0"/>
        <v>312000</v>
      </c>
    </row>
    <row r="31" spans="1:7" ht="12.75" customHeight="1" x14ac:dyDescent="0.3">
      <c r="A31" s="16"/>
      <c r="B31" s="186" t="s">
        <v>80</v>
      </c>
      <c r="C31" s="183" t="s">
        <v>20</v>
      </c>
      <c r="D31" s="187">
        <v>250</v>
      </c>
      <c r="E31" s="183" t="s">
        <v>79</v>
      </c>
      <c r="F31" s="185">
        <v>26000</v>
      </c>
      <c r="G31" s="185">
        <f t="shared" si="0"/>
        <v>6500000</v>
      </c>
    </row>
    <row r="32" spans="1:7" ht="12.75" customHeight="1" x14ac:dyDescent="0.3">
      <c r="A32" s="16"/>
      <c r="B32" s="186" t="s">
        <v>81</v>
      </c>
      <c r="C32" s="183" t="s">
        <v>20</v>
      </c>
      <c r="D32" s="184">
        <v>25</v>
      </c>
      <c r="E32" s="183" t="s">
        <v>82</v>
      </c>
      <c r="F32" s="185">
        <v>26000</v>
      </c>
      <c r="G32" s="185">
        <f t="shared" si="0"/>
        <v>650000</v>
      </c>
    </row>
    <row r="33" spans="1:7" ht="12.75" customHeight="1" x14ac:dyDescent="0.3">
      <c r="A33" s="16"/>
      <c r="B33" s="186" t="s">
        <v>83</v>
      </c>
      <c r="C33" s="183" t="s">
        <v>20</v>
      </c>
      <c r="D33" s="184">
        <v>66.75</v>
      </c>
      <c r="E33" s="183" t="s">
        <v>84</v>
      </c>
      <c r="F33" s="185">
        <v>26000</v>
      </c>
      <c r="G33" s="185">
        <f t="shared" si="0"/>
        <v>1735500</v>
      </c>
    </row>
    <row r="34" spans="1:7" ht="12.75" customHeight="1" x14ac:dyDescent="0.3">
      <c r="A34" s="16"/>
      <c r="B34" s="186" t="s">
        <v>85</v>
      </c>
      <c r="C34" s="183" t="s">
        <v>20</v>
      </c>
      <c r="D34" s="187">
        <v>8.75</v>
      </c>
      <c r="E34" s="183" t="s">
        <v>84</v>
      </c>
      <c r="F34" s="185">
        <v>26000</v>
      </c>
      <c r="G34" s="185">
        <f t="shared" si="0"/>
        <v>227500</v>
      </c>
    </row>
    <row r="35" spans="1:7" ht="12.75" customHeight="1" x14ac:dyDescent="0.3">
      <c r="A35" s="16"/>
      <c r="B35" s="186" t="s">
        <v>86</v>
      </c>
      <c r="C35" s="183" t="s">
        <v>20</v>
      </c>
      <c r="D35" s="184">
        <v>4</v>
      </c>
      <c r="E35" s="183" t="s">
        <v>61</v>
      </c>
      <c r="F35" s="185">
        <v>26000</v>
      </c>
      <c r="G35" s="185">
        <f t="shared" si="0"/>
        <v>104000</v>
      </c>
    </row>
    <row r="36" spans="1:7" ht="12.75" customHeight="1" x14ac:dyDescent="0.3">
      <c r="A36" s="16"/>
      <c r="B36" s="186" t="s">
        <v>87</v>
      </c>
      <c r="C36" s="183" t="s">
        <v>20</v>
      </c>
      <c r="D36" s="184">
        <v>12</v>
      </c>
      <c r="E36" s="183" t="s">
        <v>84</v>
      </c>
      <c r="F36" s="185">
        <v>26000</v>
      </c>
      <c r="G36" s="185">
        <f t="shared" si="0"/>
        <v>312000</v>
      </c>
    </row>
    <row r="37" spans="1:7" ht="12.75" customHeight="1" x14ac:dyDescent="0.3">
      <c r="A37" s="16"/>
      <c r="B37" s="186" t="s">
        <v>88</v>
      </c>
      <c r="C37" s="183" t="s">
        <v>20</v>
      </c>
      <c r="D37" s="187">
        <v>24</v>
      </c>
      <c r="E37" s="183" t="s">
        <v>89</v>
      </c>
      <c r="F37" s="185">
        <v>26000</v>
      </c>
      <c r="G37" s="185">
        <f t="shared" si="0"/>
        <v>624000</v>
      </c>
    </row>
    <row r="38" spans="1:7" ht="12.75" customHeight="1" x14ac:dyDescent="0.3">
      <c r="A38" s="16"/>
      <c r="B38" s="186" t="s">
        <v>90</v>
      </c>
      <c r="C38" s="183" t="s">
        <v>20</v>
      </c>
      <c r="D38" s="184">
        <v>15</v>
      </c>
      <c r="E38" s="183" t="s">
        <v>89</v>
      </c>
      <c r="F38" s="185">
        <v>26000</v>
      </c>
      <c r="G38" s="185">
        <f t="shared" si="0"/>
        <v>390000</v>
      </c>
    </row>
    <row r="39" spans="1:7" ht="12.75" customHeight="1" x14ac:dyDescent="0.3">
      <c r="A39" s="16"/>
      <c r="B39" s="182" t="s">
        <v>148</v>
      </c>
      <c r="C39" s="183"/>
      <c r="D39" s="184"/>
      <c r="E39" s="183"/>
      <c r="F39" s="185">
        <v>26000</v>
      </c>
      <c r="G39" s="185"/>
    </row>
    <row r="40" spans="1:7" ht="12.75" customHeight="1" x14ac:dyDescent="0.3">
      <c r="A40" s="16"/>
      <c r="B40" s="186" t="s">
        <v>140</v>
      </c>
      <c r="C40" s="183" t="s">
        <v>20</v>
      </c>
      <c r="D40" s="184">
        <v>112</v>
      </c>
      <c r="E40" s="183" t="s">
        <v>175</v>
      </c>
      <c r="F40" s="185">
        <v>26000</v>
      </c>
      <c r="G40" s="185">
        <f t="shared" si="0"/>
        <v>2912000</v>
      </c>
    </row>
    <row r="41" spans="1:7" ht="27" customHeight="1" x14ac:dyDescent="0.3">
      <c r="A41" s="16"/>
      <c r="B41" s="182" t="s">
        <v>149</v>
      </c>
      <c r="C41" s="183"/>
      <c r="D41" s="184"/>
      <c r="E41" s="183"/>
      <c r="F41" s="185">
        <v>26000</v>
      </c>
      <c r="G41" s="185"/>
    </row>
    <row r="42" spans="1:7" ht="12.75" customHeight="1" x14ac:dyDescent="0.3">
      <c r="A42" s="16"/>
      <c r="B42" s="186" t="s">
        <v>182</v>
      </c>
      <c r="C42" s="183" t="s">
        <v>20</v>
      </c>
      <c r="D42" s="184">
        <v>56</v>
      </c>
      <c r="E42" s="183" t="s">
        <v>175</v>
      </c>
      <c r="F42" s="185">
        <v>26000</v>
      </c>
      <c r="G42" s="185">
        <f t="shared" si="0"/>
        <v>1456000</v>
      </c>
    </row>
    <row r="43" spans="1:7" ht="12.75" customHeight="1" x14ac:dyDescent="0.3">
      <c r="A43" s="16"/>
      <c r="B43" s="25" t="s">
        <v>21</v>
      </c>
      <c r="C43" s="26"/>
      <c r="D43" s="26"/>
      <c r="E43" s="26"/>
      <c r="F43" s="27"/>
      <c r="G43" s="126">
        <f>SUM(G21:G42)</f>
        <v>16718000</v>
      </c>
    </row>
    <row r="44" spans="1:7" ht="12" customHeight="1" x14ac:dyDescent="0.3">
      <c r="A44" s="2"/>
      <c r="B44" s="17"/>
      <c r="C44" s="19"/>
      <c r="D44" s="19"/>
      <c r="E44" s="19"/>
      <c r="F44" s="28"/>
      <c r="G44" s="105"/>
    </row>
    <row r="45" spans="1:7" ht="12" customHeight="1" x14ac:dyDescent="0.3">
      <c r="A45" s="5"/>
      <c r="B45" s="29" t="s">
        <v>22</v>
      </c>
      <c r="C45" s="30"/>
      <c r="D45" s="31"/>
      <c r="E45" s="31"/>
      <c r="F45" s="32"/>
      <c r="G45" s="106"/>
    </row>
    <row r="46" spans="1:7" ht="24" customHeight="1" x14ac:dyDescent="0.3">
      <c r="A46" s="5"/>
      <c r="B46" s="33" t="s">
        <v>14</v>
      </c>
      <c r="C46" s="34" t="s">
        <v>15</v>
      </c>
      <c r="D46" s="34" t="s">
        <v>16</v>
      </c>
      <c r="E46" s="33" t="s">
        <v>57</v>
      </c>
      <c r="F46" s="34" t="s">
        <v>18</v>
      </c>
      <c r="G46" s="33" t="s">
        <v>19</v>
      </c>
    </row>
    <row r="47" spans="1:7" ht="12" customHeight="1" x14ac:dyDescent="0.3">
      <c r="A47" s="5"/>
      <c r="B47" s="35" t="s">
        <v>91</v>
      </c>
      <c r="C47" s="36" t="s">
        <v>91</v>
      </c>
      <c r="D47" s="36" t="s">
        <v>91</v>
      </c>
      <c r="E47" s="36" t="s">
        <v>91</v>
      </c>
      <c r="F47" s="92"/>
      <c r="G47" s="128"/>
    </row>
    <row r="48" spans="1:7" ht="12" customHeight="1" x14ac:dyDescent="0.3">
      <c r="A48" s="5"/>
      <c r="B48" s="37" t="s">
        <v>23</v>
      </c>
      <c r="C48" s="38"/>
      <c r="D48" s="38"/>
      <c r="E48" s="38"/>
      <c r="F48" s="39"/>
      <c r="G48" s="129"/>
    </row>
    <row r="49" spans="1:9" ht="12" customHeight="1" x14ac:dyDescent="0.3">
      <c r="A49" s="2"/>
      <c r="B49" s="40"/>
      <c r="C49" s="41"/>
      <c r="D49" s="41"/>
      <c r="E49" s="41"/>
      <c r="F49" s="42"/>
      <c r="G49" s="107"/>
    </row>
    <row r="50" spans="1:9" ht="12" customHeight="1" x14ac:dyDescent="0.3">
      <c r="A50" s="5"/>
      <c r="B50" s="29" t="s">
        <v>24</v>
      </c>
      <c r="C50" s="30"/>
      <c r="D50" s="31"/>
      <c r="E50" s="31"/>
      <c r="F50" s="32"/>
      <c r="G50" s="106"/>
    </row>
    <row r="51" spans="1:9" ht="24" customHeight="1" x14ac:dyDescent="0.3">
      <c r="A51" s="5"/>
      <c r="B51" s="43" t="s">
        <v>14</v>
      </c>
      <c r="C51" s="43" t="s">
        <v>15</v>
      </c>
      <c r="D51" s="43" t="s">
        <v>16</v>
      </c>
      <c r="E51" s="43" t="s">
        <v>17</v>
      </c>
      <c r="F51" s="44" t="s">
        <v>18</v>
      </c>
      <c r="G51" s="43" t="s">
        <v>19</v>
      </c>
    </row>
    <row r="52" spans="1:9" ht="30" customHeight="1" x14ac:dyDescent="0.3">
      <c r="A52" s="16"/>
      <c r="B52" s="192" t="s">
        <v>171</v>
      </c>
      <c r="C52" s="176" t="s">
        <v>92</v>
      </c>
      <c r="D52" s="177">
        <v>1.61</v>
      </c>
      <c r="E52" s="176" t="s">
        <v>73</v>
      </c>
      <c r="F52" s="178">
        <v>180000</v>
      </c>
      <c r="G52" s="178">
        <f>F52*D52</f>
        <v>289800</v>
      </c>
    </row>
    <row r="53" spans="1:9" ht="36.75" customHeight="1" x14ac:dyDescent="0.3">
      <c r="A53" s="16"/>
      <c r="B53" s="176" t="s">
        <v>152</v>
      </c>
      <c r="C53" s="176" t="s">
        <v>93</v>
      </c>
      <c r="D53" s="177">
        <v>5.12</v>
      </c>
      <c r="E53" s="176" t="s">
        <v>73</v>
      </c>
      <c r="F53" s="178">
        <v>180000</v>
      </c>
      <c r="G53" s="178">
        <f>F53*D53</f>
        <v>921600</v>
      </c>
    </row>
    <row r="54" spans="1:9" ht="12.75" customHeight="1" x14ac:dyDescent="0.3">
      <c r="A54" s="5"/>
      <c r="B54" s="45" t="s">
        <v>25</v>
      </c>
      <c r="C54" s="46"/>
      <c r="D54" s="46"/>
      <c r="E54" s="46"/>
      <c r="F54" s="46"/>
      <c r="G54" s="127">
        <f>SUM(G52:G53)</f>
        <v>1211400</v>
      </c>
    </row>
    <row r="55" spans="1:9" ht="12" customHeight="1" x14ac:dyDescent="0.3">
      <c r="A55" s="2"/>
      <c r="B55" s="40"/>
      <c r="C55" s="41"/>
      <c r="D55" s="41"/>
      <c r="E55" s="41"/>
      <c r="F55" s="42"/>
      <c r="G55" s="107"/>
    </row>
    <row r="56" spans="1:9" ht="12" customHeight="1" x14ac:dyDescent="0.3">
      <c r="A56" s="5"/>
      <c r="B56" s="29" t="s">
        <v>26</v>
      </c>
      <c r="C56" s="30"/>
      <c r="D56" s="31"/>
      <c r="E56" s="31"/>
      <c r="F56" s="32"/>
      <c r="G56" s="106"/>
    </row>
    <row r="57" spans="1:9" ht="24" customHeight="1" x14ac:dyDescent="0.3">
      <c r="A57" s="5"/>
      <c r="B57" s="95" t="s">
        <v>27</v>
      </c>
      <c r="C57" s="95" t="s">
        <v>28</v>
      </c>
      <c r="D57" s="95" t="s">
        <v>29</v>
      </c>
      <c r="E57" s="95" t="s">
        <v>17</v>
      </c>
      <c r="F57" s="95" t="s">
        <v>18</v>
      </c>
      <c r="G57" s="108" t="s">
        <v>19</v>
      </c>
    </row>
    <row r="58" spans="1:9" ht="12.75" customHeight="1" x14ac:dyDescent="0.3">
      <c r="A58" s="56"/>
      <c r="B58" s="135" t="s">
        <v>153</v>
      </c>
      <c r="C58" s="98"/>
      <c r="D58" s="97"/>
      <c r="E58" s="98"/>
      <c r="F58" s="98"/>
      <c r="G58" s="97"/>
    </row>
    <row r="59" spans="1:9" ht="24" customHeight="1" x14ac:dyDescent="0.3">
      <c r="A59" s="56"/>
      <c r="B59" s="156" t="s">
        <v>179</v>
      </c>
      <c r="C59" s="157" t="s">
        <v>60</v>
      </c>
      <c r="D59" s="158">
        <f>2850-500</f>
        <v>2350</v>
      </c>
      <c r="E59" s="157" t="s">
        <v>67</v>
      </c>
      <c r="F59" s="160">
        <f>'TOMATE INVERNADERO '!F59*'Al 22.06.22'!$I$59</f>
        <v>659.39499999999998</v>
      </c>
      <c r="G59" s="160">
        <f>D59*F59/3</f>
        <v>516526.08333333331</v>
      </c>
      <c r="I59" s="1">
        <v>1.0449999999999999</v>
      </c>
    </row>
    <row r="60" spans="1:9" ht="31.5" customHeight="1" x14ac:dyDescent="0.3">
      <c r="A60" s="56"/>
      <c r="B60" s="161" t="s">
        <v>185</v>
      </c>
      <c r="C60" s="157" t="s">
        <v>94</v>
      </c>
      <c r="D60" s="158">
        <v>500</v>
      </c>
      <c r="E60" s="157" t="s">
        <v>67</v>
      </c>
      <c r="F60" s="160">
        <f>'TOMATE INVERNADERO '!F60*'Al 22.06.22'!$I$59</f>
        <v>3668.4724999999999</v>
      </c>
      <c r="G60" s="160">
        <f>D60*F60/2</f>
        <v>917118.125</v>
      </c>
    </row>
    <row r="61" spans="1:9" ht="26.25" customHeight="1" x14ac:dyDescent="0.3">
      <c r="A61" s="56"/>
      <c r="B61" s="161" t="s">
        <v>180</v>
      </c>
      <c r="C61" s="157" t="s">
        <v>60</v>
      </c>
      <c r="D61" s="158">
        <v>330</v>
      </c>
      <c r="E61" s="157" t="s">
        <v>67</v>
      </c>
      <c r="F61" s="160">
        <f>'TOMATE INVERNADERO '!F61*'Al 22.06.22'!$I$59</f>
        <v>4601.1349999999993</v>
      </c>
      <c r="G61" s="160">
        <f>D61*F61/3</f>
        <v>506124.84999999992</v>
      </c>
    </row>
    <row r="62" spans="1:9" ht="24.75" customHeight="1" x14ac:dyDescent="0.3">
      <c r="A62" s="56"/>
      <c r="B62" s="161" t="s">
        <v>181</v>
      </c>
      <c r="C62" s="157" t="s">
        <v>60</v>
      </c>
      <c r="D62" s="158">
        <v>230</v>
      </c>
      <c r="E62" s="157" t="s">
        <v>67</v>
      </c>
      <c r="F62" s="160">
        <f>'TOMATE INVERNADERO '!F62*'Al 22.06.22'!$I$59</f>
        <v>4601.1349999999993</v>
      </c>
      <c r="G62" s="160">
        <f>D62*F62/3</f>
        <v>352753.68333333329</v>
      </c>
    </row>
    <row r="63" spans="1:9" ht="26.25" customHeight="1" x14ac:dyDescent="0.3">
      <c r="A63" s="56"/>
      <c r="B63" s="161" t="s">
        <v>163</v>
      </c>
      <c r="C63" s="157" t="s">
        <v>60</v>
      </c>
      <c r="D63" s="158">
        <v>215</v>
      </c>
      <c r="E63" s="157" t="s">
        <v>67</v>
      </c>
      <c r="F63" s="160">
        <f>'TOMATE INVERNADERO '!F63*'Al 22.06.22'!$I$59</f>
        <v>4601.1349999999993</v>
      </c>
      <c r="G63" s="160">
        <f>D63*F63/3</f>
        <v>329748.0083333333</v>
      </c>
    </row>
    <row r="64" spans="1:9" ht="30" customHeight="1" x14ac:dyDescent="0.3">
      <c r="A64" s="56"/>
      <c r="B64" s="161" t="s">
        <v>164</v>
      </c>
      <c r="C64" s="157" t="s">
        <v>60</v>
      </c>
      <c r="D64" s="158">
        <v>80</v>
      </c>
      <c r="E64" s="157" t="s">
        <v>67</v>
      </c>
      <c r="F64" s="160">
        <f>'TOMATE INVERNADERO '!F64*'Al 22.06.22'!$I$59</f>
        <v>3668.4724999999999</v>
      </c>
      <c r="G64" s="160">
        <f>D64*F64/2</f>
        <v>146738.9</v>
      </c>
    </row>
    <row r="65" spans="1:234" ht="27" customHeight="1" x14ac:dyDescent="0.3">
      <c r="A65" s="56"/>
      <c r="B65" s="161" t="s">
        <v>184</v>
      </c>
      <c r="C65" s="157" t="s">
        <v>162</v>
      </c>
      <c r="D65" s="158">
        <v>14</v>
      </c>
      <c r="E65" s="157" t="s">
        <v>67</v>
      </c>
      <c r="F65" s="160">
        <f>'TOMATE INVERNADERO '!F65*'Al 22.06.22'!$I$59</f>
        <v>261249.99999999997</v>
      </c>
      <c r="G65" s="160">
        <f>D65*F65/8</f>
        <v>457187.49999999994</v>
      </c>
    </row>
    <row r="66" spans="1:234" ht="28.5" customHeight="1" x14ac:dyDescent="0.3">
      <c r="A66" s="56"/>
      <c r="B66" s="143" t="s">
        <v>166</v>
      </c>
      <c r="C66" s="145" t="s">
        <v>165</v>
      </c>
      <c r="D66" s="140">
        <v>4</v>
      </c>
      <c r="E66" s="157" t="s">
        <v>67</v>
      </c>
      <c r="F66" s="160">
        <f>'TOMATE INVERNADERO '!F66*'Al 22.06.22'!$I$59</f>
        <v>55213.619999999995</v>
      </c>
      <c r="G66" s="142">
        <f>D66*F66/8</f>
        <v>27606.809999999998</v>
      </c>
    </row>
    <row r="67" spans="1:234" ht="43.5" customHeight="1" x14ac:dyDescent="0.3">
      <c r="A67" s="56"/>
      <c r="B67" s="161" t="s">
        <v>186</v>
      </c>
      <c r="C67" s="157" t="s">
        <v>60</v>
      </c>
      <c r="D67" s="158">
        <v>150</v>
      </c>
      <c r="E67" s="157" t="s">
        <v>67</v>
      </c>
      <c r="F67" s="160">
        <f>'TOMATE INVERNADERO '!F67*'Al 22.06.22'!$I$59</f>
        <v>3668.4724999999999</v>
      </c>
      <c r="G67" s="160">
        <f>D67*F67/2</f>
        <v>275135.4375</v>
      </c>
    </row>
    <row r="68" spans="1:234" s="148" customFormat="1" ht="12.75" customHeight="1" x14ac:dyDescent="0.3">
      <c r="A68" s="146"/>
      <c r="B68" s="149" t="s">
        <v>167</v>
      </c>
      <c r="C68" s="166"/>
      <c r="D68" s="167"/>
      <c r="E68" s="166"/>
      <c r="F68" s="160">
        <f>'TOMATE INVERNADERO '!F68*'Al 22.06.22'!$I$59</f>
        <v>0</v>
      </c>
      <c r="G68" s="168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  <c r="BI68" s="147"/>
      <c r="BJ68" s="147"/>
      <c r="BK68" s="147"/>
      <c r="BL68" s="147"/>
      <c r="BM68" s="147"/>
      <c r="BN68" s="147"/>
      <c r="BO68" s="147"/>
      <c r="BP68" s="147"/>
      <c r="BQ68" s="147"/>
      <c r="BR68" s="147"/>
      <c r="BS68" s="147"/>
      <c r="BT68" s="147"/>
      <c r="BU68" s="147"/>
      <c r="BV68" s="147"/>
      <c r="BW68" s="147"/>
      <c r="BX68" s="147"/>
      <c r="BY68" s="147"/>
      <c r="BZ68" s="147"/>
      <c r="CA68" s="147"/>
      <c r="CB68" s="147"/>
      <c r="CC68" s="147"/>
      <c r="CD68" s="147"/>
      <c r="CE68" s="147"/>
      <c r="CF68" s="147"/>
      <c r="CG68" s="147"/>
      <c r="CH68" s="147"/>
      <c r="CI68" s="147"/>
      <c r="CJ68" s="147"/>
      <c r="CK68" s="147"/>
      <c r="CL68" s="147"/>
      <c r="CM68" s="147"/>
      <c r="CN68" s="147"/>
      <c r="CO68" s="147"/>
      <c r="CP68" s="147"/>
      <c r="CQ68" s="147"/>
      <c r="CR68" s="147"/>
      <c r="CS68" s="147"/>
      <c r="CT68" s="147"/>
      <c r="CU68" s="147"/>
      <c r="CV68" s="147"/>
      <c r="CW68" s="147"/>
      <c r="CX68" s="147"/>
      <c r="CY68" s="147"/>
      <c r="CZ68" s="147"/>
      <c r="DA68" s="147"/>
      <c r="DB68" s="147"/>
      <c r="DC68" s="147"/>
      <c r="DD68" s="147"/>
      <c r="DE68" s="147"/>
      <c r="DF68" s="147"/>
      <c r="DG68" s="147"/>
      <c r="DH68" s="147"/>
      <c r="DI68" s="147"/>
      <c r="DJ68" s="147"/>
      <c r="DK68" s="147"/>
      <c r="DL68" s="147"/>
      <c r="DM68" s="147"/>
      <c r="DN68" s="147"/>
      <c r="DO68" s="147"/>
      <c r="DP68" s="147"/>
      <c r="DQ68" s="147"/>
      <c r="DR68" s="147"/>
      <c r="DS68" s="147"/>
      <c r="DT68" s="147"/>
      <c r="DU68" s="147"/>
      <c r="DV68" s="147"/>
      <c r="DW68" s="147"/>
      <c r="DX68" s="147"/>
      <c r="DY68" s="147"/>
      <c r="DZ68" s="147"/>
      <c r="EA68" s="147"/>
      <c r="EB68" s="147"/>
      <c r="EC68" s="147"/>
      <c r="ED68" s="147"/>
      <c r="EE68" s="147"/>
      <c r="EF68" s="147"/>
      <c r="EG68" s="147"/>
      <c r="EH68" s="147"/>
      <c r="EI68" s="147"/>
      <c r="EJ68" s="147"/>
      <c r="EK68" s="147"/>
      <c r="EL68" s="147"/>
      <c r="EM68" s="147"/>
      <c r="EN68" s="147"/>
      <c r="EO68" s="147"/>
      <c r="EP68" s="147"/>
      <c r="EQ68" s="147"/>
      <c r="ER68" s="147"/>
      <c r="ES68" s="147"/>
      <c r="ET68" s="147"/>
      <c r="EU68" s="147"/>
      <c r="EV68" s="147"/>
      <c r="EW68" s="147"/>
      <c r="EX68" s="147"/>
      <c r="EY68" s="147"/>
      <c r="EZ68" s="147"/>
      <c r="FA68" s="147"/>
      <c r="FB68" s="147"/>
      <c r="FC68" s="147"/>
      <c r="FD68" s="147"/>
      <c r="FE68" s="147"/>
      <c r="FF68" s="147"/>
      <c r="FG68" s="147"/>
      <c r="FH68" s="147"/>
      <c r="FI68" s="147"/>
      <c r="FJ68" s="147"/>
      <c r="FK68" s="147"/>
      <c r="FL68" s="147"/>
      <c r="FM68" s="147"/>
      <c r="FN68" s="147"/>
      <c r="FO68" s="147"/>
      <c r="FP68" s="147"/>
      <c r="FQ68" s="147"/>
      <c r="FR68" s="147"/>
      <c r="FS68" s="147"/>
      <c r="FT68" s="147"/>
      <c r="FU68" s="147"/>
      <c r="FV68" s="147"/>
      <c r="FW68" s="147"/>
      <c r="FX68" s="147"/>
      <c r="FY68" s="147"/>
      <c r="FZ68" s="147"/>
      <c r="GA68" s="147"/>
      <c r="GB68" s="147"/>
      <c r="GC68" s="147"/>
      <c r="GD68" s="147"/>
      <c r="GE68" s="147"/>
      <c r="GF68" s="147"/>
      <c r="GG68" s="147"/>
      <c r="GH68" s="147"/>
      <c r="GI68" s="147"/>
      <c r="GJ68" s="147"/>
      <c r="GK68" s="147"/>
      <c r="GL68" s="147"/>
      <c r="GM68" s="147"/>
      <c r="GN68" s="147"/>
      <c r="GO68" s="147"/>
      <c r="GP68" s="147"/>
      <c r="GQ68" s="147"/>
      <c r="GR68" s="147"/>
      <c r="GS68" s="147"/>
      <c r="GT68" s="147"/>
      <c r="GU68" s="147"/>
      <c r="GV68" s="147"/>
      <c r="GW68" s="147"/>
      <c r="GX68" s="147"/>
      <c r="GY68" s="147"/>
      <c r="GZ68" s="147"/>
      <c r="HA68" s="147"/>
      <c r="HB68" s="147"/>
      <c r="HC68" s="147"/>
      <c r="HD68" s="147"/>
      <c r="HE68" s="147"/>
      <c r="HF68" s="147"/>
      <c r="HG68" s="147"/>
      <c r="HH68" s="147"/>
      <c r="HI68" s="147"/>
      <c r="HJ68" s="147"/>
      <c r="HK68" s="147"/>
      <c r="HL68" s="147"/>
      <c r="HM68" s="147"/>
      <c r="HN68" s="147"/>
      <c r="HO68" s="147"/>
      <c r="HP68" s="147"/>
      <c r="HQ68" s="147"/>
      <c r="HR68" s="147"/>
      <c r="HS68" s="147"/>
      <c r="HT68" s="147"/>
      <c r="HU68" s="147"/>
      <c r="HV68" s="147"/>
      <c r="HW68" s="147"/>
      <c r="HX68" s="147"/>
      <c r="HY68" s="147"/>
      <c r="HZ68" s="147"/>
    </row>
    <row r="69" spans="1:234" ht="24.75" customHeight="1" x14ac:dyDescent="0.3">
      <c r="A69" s="56"/>
      <c r="B69" s="164" t="s">
        <v>178</v>
      </c>
      <c r="C69" s="157" t="s">
        <v>93</v>
      </c>
      <c r="D69" s="158">
        <v>11520</v>
      </c>
      <c r="E69" s="157" t="s">
        <v>75</v>
      </c>
      <c r="F69" s="160">
        <f>'TOMATE INVERNADERO '!F69*'Al 22.06.22'!$I$59</f>
        <v>52.229099999999995</v>
      </c>
      <c r="G69" s="160">
        <f>D69*F69/2</f>
        <v>300839.61599999998</v>
      </c>
    </row>
    <row r="70" spans="1:234" ht="12.75" customHeight="1" x14ac:dyDescent="0.3">
      <c r="A70" s="56"/>
      <c r="B70" s="161" t="s">
        <v>95</v>
      </c>
      <c r="C70" s="159" t="s">
        <v>60</v>
      </c>
      <c r="D70" s="191">
        <v>40.510127531882972</v>
      </c>
      <c r="E70" s="159" t="s">
        <v>134</v>
      </c>
      <c r="F70" s="160">
        <f>'TOMATE INVERNADERO '!F70*'Al 22.06.22'!$I$59</f>
        <v>5225.3971000000001</v>
      </c>
      <c r="G70" s="163">
        <f t="shared" ref="G70" si="1">D70*F70</f>
        <v>211681.50292573145</v>
      </c>
    </row>
    <row r="71" spans="1:234" ht="27" customHeight="1" x14ac:dyDescent="0.3">
      <c r="A71" s="56"/>
      <c r="B71" s="161" t="s">
        <v>169</v>
      </c>
      <c r="C71" s="159" t="s">
        <v>168</v>
      </c>
      <c r="D71" s="191">
        <v>1</v>
      </c>
      <c r="E71" s="159" t="s">
        <v>170</v>
      </c>
      <c r="F71" s="160">
        <f>'TOMATE INVERNADERO '!F71*'Al 22.06.22'!$I$59</f>
        <v>10450000</v>
      </c>
      <c r="G71" s="163">
        <f>D71*F71/8</f>
        <v>1306250</v>
      </c>
    </row>
    <row r="72" spans="1:234" ht="12.75" customHeight="1" x14ac:dyDescent="0.3">
      <c r="A72" s="56"/>
      <c r="B72" s="135" t="s">
        <v>151</v>
      </c>
      <c r="C72" s="94"/>
      <c r="D72" s="96"/>
      <c r="E72" s="94"/>
      <c r="F72" s="160">
        <f>'TOMATE INVERNADERO '!F72*'Al 22.06.22'!$I$59</f>
        <v>0</v>
      </c>
      <c r="G72" s="97"/>
    </row>
    <row r="73" spans="1:234" ht="12.75" customHeight="1" x14ac:dyDescent="0.3">
      <c r="A73" s="56"/>
      <c r="B73" s="164" t="s">
        <v>145</v>
      </c>
      <c r="C73" s="159" t="s">
        <v>59</v>
      </c>
      <c r="D73" s="162">
        <v>13000</v>
      </c>
      <c r="E73" s="159" t="s">
        <v>73</v>
      </c>
      <c r="F73" s="160">
        <f>'TOMATE INVERNADERO '!F73*'Al 22.06.22'!$I$59</f>
        <v>658.34999999999991</v>
      </c>
      <c r="G73" s="163">
        <f t="shared" ref="G73:G111" si="2">D73*F73</f>
        <v>8558549.9999999981</v>
      </c>
    </row>
    <row r="74" spans="1:234" ht="12.75" customHeight="1" x14ac:dyDescent="0.3">
      <c r="A74" s="56"/>
      <c r="C74" s="94"/>
      <c r="D74" s="96"/>
      <c r="E74" s="94"/>
      <c r="F74" s="160">
        <f>'TOMATE INVERNADERO '!F74*'Al 22.06.22'!$I$59</f>
        <v>0</v>
      </c>
      <c r="G74" s="97"/>
    </row>
    <row r="75" spans="1:234" ht="12.75" customHeight="1" x14ac:dyDescent="0.3">
      <c r="A75" s="56"/>
      <c r="B75" s="136" t="s">
        <v>58</v>
      </c>
      <c r="C75" s="94"/>
      <c r="D75" s="96"/>
      <c r="E75" s="94"/>
      <c r="F75" s="160">
        <f>'TOMATE INVERNADERO '!F75*'Al 22.06.22'!$I$59</f>
        <v>0</v>
      </c>
      <c r="G75" s="97"/>
    </row>
    <row r="76" spans="1:234" ht="12.75" customHeight="1" x14ac:dyDescent="0.3">
      <c r="A76" s="56"/>
      <c r="B76" s="165" t="s">
        <v>96</v>
      </c>
      <c r="C76" s="159" t="s">
        <v>97</v>
      </c>
      <c r="D76" s="162">
        <v>50</v>
      </c>
      <c r="E76" s="159" t="s">
        <v>73</v>
      </c>
      <c r="F76" s="160">
        <f>'TOMATE INVERNADERO '!F76*'Al 22.06.22'!$I$59</f>
        <v>8360</v>
      </c>
      <c r="G76" s="163">
        <f t="shared" si="2"/>
        <v>418000</v>
      </c>
    </row>
    <row r="77" spans="1:234" ht="12.75" customHeight="1" x14ac:dyDescent="0.3">
      <c r="A77" s="56"/>
      <c r="B77" s="165" t="s">
        <v>98</v>
      </c>
      <c r="C77" s="159" t="s">
        <v>94</v>
      </c>
      <c r="D77" s="162">
        <v>250</v>
      </c>
      <c r="E77" s="159" t="s">
        <v>73</v>
      </c>
      <c r="F77" s="160">
        <f>'TOMATE INVERNADERO '!F77*'Al 22.06.22'!$I$59</f>
        <v>1115.46435</v>
      </c>
      <c r="G77" s="163">
        <f t="shared" si="2"/>
        <v>278866.08749999997</v>
      </c>
    </row>
    <row r="78" spans="1:234" ht="12.75" customHeight="1" x14ac:dyDescent="0.3">
      <c r="A78" s="56"/>
      <c r="B78" s="165" t="s">
        <v>99</v>
      </c>
      <c r="C78" s="159" t="s">
        <v>94</v>
      </c>
      <c r="D78" s="162">
        <v>200</v>
      </c>
      <c r="E78" s="159" t="s">
        <v>100</v>
      </c>
      <c r="F78" s="160">
        <f>'TOMATE INVERNADERO '!F78*'Al 22.06.22'!$I$59</f>
        <v>2511.9709999999995</v>
      </c>
      <c r="G78" s="163">
        <f t="shared" si="2"/>
        <v>502394.1999999999</v>
      </c>
    </row>
    <row r="79" spans="1:234" ht="12.75" customHeight="1" x14ac:dyDescent="0.3">
      <c r="A79" s="56"/>
      <c r="B79" s="165" t="s">
        <v>101</v>
      </c>
      <c r="C79" s="159" t="s">
        <v>102</v>
      </c>
      <c r="D79" s="162">
        <v>1300</v>
      </c>
      <c r="E79" s="159" t="s">
        <v>84</v>
      </c>
      <c r="F79" s="160">
        <f>'TOMATE INVERNADERO '!F79*'Al 22.06.22'!$I$59</f>
        <v>1859.1072499999998</v>
      </c>
      <c r="G79" s="163">
        <f t="shared" si="2"/>
        <v>2416839.4249999998</v>
      </c>
    </row>
    <row r="80" spans="1:234" ht="12.75" customHeight="1" x14ac:dyDescent="0.3">
      <c r="A80" s="56"/>
      <c r="B80" s="165" t="s">
        <v>103</v>
      </c>
      <c r="C80" s="159" t="s">
        <v>94</v>
      </c>
      <c r="D80" s="162">
        <v>450</v>
      </c>
      <c r="E80" s="159" t="s">
        <v>84</v>
      </c>
      <c r="F80" s="160">
        <f>'TOMATE INVERNADERO '!F80*'Al 22.06.22'!$I$59</f>
        <v>828.20429999999988</v>
      </c>
      <c r="G80" s="163">
        <f t="shared" si="2"/>
        <v>372691.93499999994</v>
      </c>
    </row>
    <row r="81" spans="1:234" ht="12.75" customHeight="1" x14ac:dyDescent="0.3">
      <c r="A81" s="56"/>
      <c r="B81" s="165" t="s">
        <v>104</v>
      </c>
      <c r="C81" s="159" t="s">
        <v>94</v>
      </c>
      <c r="D81" s="162">
        <v>100</v>
      </c>
      <c r="E81" s="159" t="s">
        <v>84</v>
      </c>
      <c r="F81" s="160">
        <f>'TOMATE INVERNADERO '!F81*'Al 22.06.22'!$I$59</f>
        <v>743.64289999999994</v>
      </c>
      <c r="G81" s="163">
        <f t="shared" si="2"/>
        <v>74364.289999999994</v>
      </c>
    </row>
    <row r="82" spans="1:234" ht="12.75" customHeight="1" x14ac:dyDescent="0.3">
      <c r="A82" s="56"/>
      <c r="B82" s="165" t="s">
        <v>105</v>
      </c>
      <c r="C82" s="159" t="s">
        <v>94</v>
      </c>
      <c r="D82" s="162">
        <v>100</v>
      </c>
      <c r="E82" s="159" t="s">
        <v>84</v>
      </c>
      <c r="F82" s="160">
        <f>'TOMATE INVERNADERO '!F82*'Al 22.06.22'!$I$59</f>
        <v>2002.1154999999997</v>
      </c>
      <c r="G82" s="163">
        <f t="shared" si="2"/>
        <v>200211.54999999996</v>
      </c>
    </row>
    <row r="83" spans="1:234" ht="12.75" customHeight="1" x14ac:dyDescent="0.3">
      <c r="A83" s="56"/>
      <c r="B83" s="165" t="s">
        <v>106</v>
      </c>
      <c r="C83" s="159" t="s">
        <v>94</v>
      </c>
      <c r="D83" s="162">
        <v>100</v>
      </c>
      <c r="E83" s="159" t="s">
        <v>84</v>
      </c>
      <c r="F83" s="160">
        <f>'TOMATE INVERNADERO '!F83*'Al 22.06.22'!$I$59</f>
        <v>2002.1154999999997</v>
      </c>
      <c r="G83" s="163">
        <f t="shared" si="2"/>
        <v>200211.54999999996</v>
      </c>
    </row>
    <row r="84" spans="1:234" ht="12.75" customHeight="1" x14ac:dyDescent="0.3">
      <c r="A84" s="56"/>
      <c r="B84" s="165" t="s">
        <v>107</v>
      </c>
      <c r="C84" s="159" t="s">
        <v>94</v>
      </c>
      <c r="D84" s="162">
        <v>200</v>
      </c>
      <c r="E84" s="159" t="s">
        <v>84</v>
      </c>
      <c r="F84" s="160">
        <f>'TOMATE INVERNADERO '!F84*'Al 22.06.22'!$I$59</f>
        <v>1678.7924999999998</v>
      </c>
      <c r="G84" s="163">
        <f t="shared" si="2"/>
        <v>335758.49999999994</v>
      </c>
    </row>
    <row r="85" spans="1:234" ht="12.75" customHeight="1" x14ac:dyDescent="0.3">
      <c r="A85" s="56"/>
      <c r="B85" s="165" t="s">
        <v>108</v>
      </c>
      <c r="C85" s="159" t="s">
        <v>94</v>
      </c>
      <c r="D85" s="162">
        <v>25</v>
      </c>
      <c r="E85" s="159" t="s">
        <v>84</v>
      </c>
      <c r="F85" s="160">
        <f>'TOMATE INVERNADERO '!F85*'Al 22.06.22'!$I$59</f>
        <v>445.19089999999994</v>
      </c>
      <c r="G85" s="163">
        <f t="shared" si="2"/>
        <v>11129.772499999999</v>
      </c>
    </row>
    <row r="86" spans="1:234" ht="12.75" customHeight="1" x14ac:dyDescent="0.3">
      <c r="A86" s="56"/>
      <c r="B86" s="165" t="s">
        <v>109</v>
      </c>
      <c r="C86" s="159" t="s">
        <v>94</v>
      </c>
      <c r="D86" s="162">
        <v>25</v>
      </c>
      <c r="E86" s="159" t="s">
        <v>110</v>
      </c>
      <c r="F86" s="160">
        <f>'TOMATE INVERNADERO '!F86*'Al 22.06.22'!$I$59</f>
        <v>3345.1494999999995</v>
      </c>
      <c r="G86" s="163">
        <f t="shared" si="2"/>
        <v>83628.737499999988</v>
      </c>
    </row>
    <row r="87" spans="1:234" ht="12.75" customHeight="1" x14ac:dyDescent="0.3">
      <c r="A87" s="56"/>
      <c r="B87" s="165" t="s">
        <v>111</v>
      </c>
      <c r="C87" s="159" t="s">
        <v>138</v>
      </c>
      <c r="D87" s="162">
        <v>20</v>
      </c>
      <c r="E87" s="159" t="s">
        <v>84</v>
      </c>
      <c r="F87" s="160">
        <f>'TOMATE INVERNADERO '!F87*'Al 22.06.22'!$I$59</f>
        <v>21886.48</v>
      </c>
      <c r="G87" s="163">
        <f t="shared" si="2"/>
        <v>437729.6</v>
      </c>
    </row>
    <row r="88" spans="1:234" ht="12.75" customHeight="1" x14ac:dyDescent="0.3">
      <c r="A88" s="56"/>
      <c r="B88" s="135" t="s">
        <v>150</v>
      </c>
      <c r="C88" s="94"/>
      <c r="D88" s="96"/>
      <c r="E88" s="94"/>
      <c r="F88" s="160">
        <f>'TOMATE INVERNADERO '!F88*'Al 22.06.22'!$I$59</f>
        <v>0</v>
      </c>
      <c r="G88" s="97"/>
    </row>
    <row r="89" spans="1:234" ht="12.75" customHeight="1" x14ac:dyDescent="0.3">
      <c r="A89" s="56"/>
      <c r="B89" s="151" t="s">
        <v>129</v>
      </c>
      <c r="C89" s="94"/>
      <c r="D89" s="96"/>
      <c r="E89" s="94"/>
      <c r="F89" s="160">
        <f>'TOMATE INVERNADERO '!F89*'Al 22.06.22'!$I$59</f>
        <v>0</v>
      </c>
      <c r="G89" s="97"/>
    </row>
    <row r="90" spans="1:234" ht="12.75" customHeight="1" x14ac:dyDescent="0.3">
      <c r="A90" s="56"/>
      <c r="B90" s="193" t="s">
        <v>112</v>
      </c>
      <c r="C90" s="194" t="s">
        <v>94</v>
      </c>
      <c r="D90" s="195">
        <v>0.5</v>
      </c>
      <c r="E90" s="194" t="s">
        <v>84</v>
      </c>
      <c r="F90" s="160">
        <f>'TOMATE INVERNADERO '!F90*'Al 22.06.22'!$I$59</f>
        <v>176584.09999999998</v>
      </c>
      <c r="G90" s="196">
        <f>D90*F90</f>
        <v>88292.049999999988</v>
      </c>
    </row>
    <row r="91" spans="1:234" ht="12.75" customHeight="1" x14ac:dyDescent="0.3">
      <c r="A91" s="56"/>
      <c r="B91" s="193" t="s">
        <v>113</v>
      </c>
      <c r="C91" s="194" t="s">
        <v>94</v>
      </c>
      <c r="D91" s="195">
        <v>0.5</v>
      </c>
      <c r="E91" s="194" t="s">
        <v>84</v>
      </c>
      <c r="F91" s="160">
        <f>'TOMATE INVERNADERO '!F91*'Al 22.06.22'!$I$59</f>
        <v>234402.95724999998</v>
      </c>
      <c r="G91" s="196">
        <f t="shared" si="2"/>
        <v>117201.47862499999</v>
      </c>
    </row>
    <row r="92" spans="1:234" ht="12.75" customHeight="1" x14ac:dyDescent="0.3">
      <c r="A92" s="56"/>
      <c r="B92" s="193" t="s">
        <v>114</v>
      </c>
      <c r="C92" s="194" t="s">
        <v>94</v>
      </c>
      <c r="D92" s="195">
        <v>0.25</v>
      </c>
      <c r="E92" s="194" t="s">
        <v>84</v>
      </c>
      <c r="F92" s="160">
        <f>'TOMATE INVERNADERO '!F92*'Al 22.06.22'!$I$59</f>
        <v>261406.64549999998</v>
      </c>
      <c r="G92" s="196">
        <f t="shared" si="2"/>
        <v>65351.661374999996</v>
      </c>
    </row>
    <row r="93" spans="1:234" ht="12.75" customHeight="1" x14ac:dyDescent="0.3">
      <c r="A93" s="56"/>
      <c r="B93" s="193" t="s">
        <v>115</v>
      </c>
      <c r="C93" s="194" t="s">
        <v>94</v>
      </c>
      <c r="D93" s="195">
        <v>2</v>
      </c>
      <c r="E93" s="194" t="s">
        <v>84</v>
      </c>
      <c r="F93" s="160">
        <f>'TOMATE INVERNADERO '!F93*'Al 22.06.22'!$I$59</f>
        <v>109457.27099999998</v>
      </c>
      <c r="G93" s="196">
        <f t="shared" si="2"/>
        <v>218914.54199999996</v>
      </c>
    </row>
    <row r="94" spans="1:234" ht="12.75" customHeight="1" x14ac:dyDescent="0.3">
      <c r="A94" s="56"/>
      <c r="B94" s="193" t="s">
        <v>155</v>
      </c>
      <c r="C94" s="194" t="s">
        <v>174</v>
      </c>
      <c r="D94" s="195">
        <v>1</v>
      </c>
      <c r="E94" s="194" t="s">
        <v>84</v>
      </c>
      <c r="F94" s="160">
        <f>'TOMATE INVERNADERO '!F94*'Al 22.06.22'!$I$59</f>
        <v>5747.5</v>
      </c>
      <c r="G94" s="196">
        <f>D94*F94</f>
        <v>5747.5</v>
      </c>
    </row>
    <row r="95" spans="1:234" ht="12.75" customHeight="1" x14ac:dyDescent="0.3">
      <c r="A95" s="56"/>
      <c r="B95" s="193" t="s">
        <v>116</v>
      </c>
      <c r="C95" s="194" t="s">
        <v>60</v>
      </c>
      <c r="D95" s="195">
        <v>1</v>
      </c>
      <c r="E95" s="194" t="s">
        <v>84</v>
      </c>
      <c r="F95" s="160">
        <f>'TOMATE INVERNADERO '!F95*'Al 22.06.22'!$I$59</f>
        <v>62508.284299999999</v>
      </c>
      <c r="G95" s="196">
        <f t="shared" si="2"/>
        <v>62508.284299999999</v>
      </c>
    </row>
    <row r="96" spans="1:234" s="148" customFormat="1" ht="12.75" hidden="1" customHeight="1" x14ac:dyDescent="0.3">
      <c r="A96" s="146"/>
      <c r="B96" s="193"/>
      <c r="C96" s="194"/>
      <c r="D96" s="195"/>
      <c r="E96" s="194"/>
      <c r="F96" s="160">
        <f>'TOMATE INVERNADERO '!F96*'Al 22.06.22'!$I$59</f>
        <v>0</v>
      </c>
      <c r="G96" s="196"/>
      <c r="H96" s="147"/>
      <c r="I96" s="147"/>
      <c r="J96" s="147"/>
      <c r="K96" s="147"/>
      <c r="L96" s="147"/>
      <c r="M96" s="147"/>
      <c r="N96" s="147"/>
      <c r="O96" s="147"/>
      <c r="P96" s="147"/>
      <c r="Q96" s="147"/>
      <c r="R96" s="147"/>
      <c r="S96" s="147"/>
      <c r="T96" s="147"/>
      <c r="U96" s="147"/>
      <c r="V96" s="147"/>
      <c r="W96" s="147"/>
      <c r="X96" s="147"/>
      <c r="Y96" s="147"/>
      <c r="Z96" s="147"/>
      <c r="AA96" s="147"/>
      <c r="AB96" s="147"/>
      <c r="AC96" s="147"/>
      <c r="AD96" s="147"/>
      <c r="AE96" s="147"/>
      <c r="AF96" s="147"/>
      <c r="AG96" s="147"/>
      <c r="AH96" s="147"/>
      <c r="AI96" s="147"/>
      <c r="AJ96" s="147"/>
      <c r="AK96" s="147"/>
      <c r="AL96" s="147"/>
      <c r="AM96" s="147"/>
      <c r="AN96" s="147"/>
      <c r="AO96" s="147"/>
      <c r="AP96" s="147"/>
      <c r="AQ96" s="147"/>
      <c r="AR96" s="147"/>
      <c r="AS96" s="147"/>
      <c r="AT96" s="147"/>
      <c r="AU96" s="147"/>
      <c r="AV96" s="147"/>
      <c r="AW96" s="147"/>
      <c r="AX96" s="147"/>
      <c r="AY96" s="147"/>
      <c r="AZ96" s="147"/>
      <c r="BA96" s="147"/>
      <c r="BB96" s="147"/>
      <c r="BC96" s="147"/>
      <c r="BD96" s="147"/>
      <c r="BE96" s="147"/>
      <c r="BF96" s="147"/>
      <c r="BG96" s="147"/>
      <c r="BH96" s="147"/>
      <c r="BI96" s="147"/>
      <c r="BJ96" s="147"/>
      <c r="BK96" s="147"/>
      <c r="BL96" s="147"/>
      <c r="BM96" s="147"/>
      <c r="BN96" s="147"/>
      <c r="BO96" s="147"/>
      <c r="BP96" s="147"/>
      <c r="BQ96" s="147"/>
      <c r="BR96" s="147"/>
      <c r="BS96" s="147"/>
      <c r="BT96" s="147"/>
      <c r="BU96" s="147"/>
      <c r="BV96" s="147"/>
      <c r="BW96" s="147"/>
      <c r="BX96" s="147"/>
      <c r="BY96" s="147"/>
      <c r="BZ96" s="147"/>
      <c r="CA96" s="147"/>
      <c r="CB96" s="147"/>
      <c r="CC96" s="147"/>
      <c r="CD96" s="147"/>
      <c r="CE96" s="147"/>
      <c r="CF96" s="147"/>
      <c r="CG96" s="147"/>
      <c r="CH96" s="147"/>
      <c r="CI96" s="147"/>
      <c r="CJ96" s="147"/>
      <c r="CK96" s="147"/>
      <c r="CL96" s="147"/>
      <c r="CM96" s="147"/>
      <c r="CN96" s="147"/>
      <c r="CO96" s="147"/>
      <c r="CP96" s="147"/>
      <c r="CQ96" s="147"/>
      <c r="CR96" s="147"/>
      <c r="CS96" s="147"/>
      <c r="CT96" s="147"/>
      <c r="CU96" s="147"/>
      <c r="CV96" s="147"/>
      <c r="CW96" s="147"/>
      <c r="CX96" s="147"/>
      <c r="CY96" s="147"/>
      <c r="CZ96" s="147"/>
      <c r="DA96" s="147"/>
      <c r="DB96" s="147"/>
      <c r="DC96" s="147"/>
      <c r="DD96" s="147"/>
      <c r="DE96" s="147"/>
      <c r="DF96" s="147"/>
      <c r="DG96" s="147"/>
      <c r="DH96" s="147"/>
      <c r="DI96" s="147"/>
      <c r="DJ96" s="147"/>
      <c r="DK96" s="147"/>
      <c r="DL96" s="147"/>
      <c r="DM96" s="147"/>
      <c r="DN96" s="147"/>
      <c r="DO96" s="147"/>
      <c r="DP96" s="147"/>
      <c r="DQ96" s="147"/>
      <c r="DR96" s="147"/>
      <c r="DS96" s="147"/>
      <c r="DT96" s="147"/>
      <c r="DU96" s="147"/>
      <c r="DV96" s="147"/>
      <c r="DW96" s="147"/>
      <c r="DX96" s="147"/>
      <c r="DY96" s="147"/>
      <c r="DZ96" s="147"/>
      <c r="EA96" s="147"/>
      <c r="EB96" s="147"/>
      <c r="EC96" s="147"/>
      <c r="ED96" s="147"/>
      <c r="EE96" s="147"/>
      <c r="EF96" s="147"/>
      <c r="EG96" s="147"/>
      <c r="EH96" s="147"/>
      <c r="EI96" s="147"/>
      <c r="EJ96" s="147"/>
      <c r="EK96" s="147"/>
      <c r="EL96" s="147"/>
      <c r="EM96" s="147"/>
      <c r="EN96" s="147"/>
      <c r="EO96" s="147"/>
      <c r="EP96" s="147"/>
      <c r="EQ96" s="147"/>
      <c r="ER96" s="147"/>
      <c r="ES96" s="147"/>
      <c r="ET96" s="147"/>
      <c r="EU96" s="147"/>
      <c r="EV96" s="147"/>
      <c r="EW96" s="147"/>
      <c r="EX96" s="147"/>
      <c r="EY96" s="147"/>
      <c r="EZ96" s="147"/>
      <c r="FA96" s="147"/>
      <c r="FB96" s="147"/>
      <c r="FC96" s="147"/>
      <c r="FD96" s="147"/>
      <c r="FE96" s="147"/>
      <c r="FF96" s="147"/>
      <c r="FG96" s="147"/>
      <c r="FH96" s="147"/>
      <c r="FI96" s="147"/>
      <c r="FJ96" s="147"/>
      <c r="FK96" s="147"/>
      <c r="FL96" s="147"/>
      <c r="FM96" s="147"/>
      <c r="FN96" s="147"/>
      <c r="FO96" s="147"/>
      <c r="FP96" s="147"/>
      <c r="FQ96" s="147"/>
      <c r="FR96" s="147"/>
      <c r="FS96" s="147"/>
      <c r="FT96" s="147"/>
      <c r="FU96" s="147"/>
      <c r="FV96" s="147"/>
      <c r="FW96" s="147"/>
      <c r="FX96" s="147"/>
      <c r="FY96" s="147"/>
      <c r="FZ96" s="147"/>
      <c r="GA96" s="147"/>
      <c r="GB96" s="147"/>
      <c r="GC96" s="147"/>
      <c r="GD96" s="147"/>
      <c r="GE96" s="147"/>
      <c r="GF96" s="147"/>
      <c r="GG96" s="147"/>
      <c r="GH96" s="147"/>
      <c r="GI96" s="147"/>
      <c r="GJ96" s="147"/>
      <c r="GK96" s="147"/>
      <c r="GL96" s="147"/>
      <c r="GM96" s="147"/>
      <c r="GN96" s="147"/>
      <c r="GO96" s="147"/>
      <c r="GP96" s="147"/>
      <c r="GQ96" s="147"/>
      <c r="GR96" s="147"/>
      <c r="GS96" s="147"/>
      <c r="GT96" s="147"/>
      <c r="GU96" s="147"/>
      <c r="GV96" s="147"/>
      <c r="GW96" s="147"/>
      <c r="GX96" s="147"/>
      <c r="GY96" s="147"/>
      <c r="GZ96" s="147"/>
      <c r="HA96" s="147"/>
      <c r="HB96" s="147"/>
      <c r="HC96" s="147"/>
      <c r="HD96" s="147"/>
      <c r="HE96" s="147"/>
      <c r="HF96" s="147"/>
      <c r="HG96" s="147"/>
      <c r="HH96" s="147"/>
      <c r="HI96" s="147"/>
      <c r="HJ96" s="147"/>
      <c r="HK96" s="147"/>
      <c r="HL96" s="147"/>
      <c r="HM96" s="147"/>
      <c r="HN96" s="147"/>
      <c r="HO96" s="147"/>
      <c r="HP96" s="147"/>
      <c r="HQ96" s="147"/>
      <c r="HR96" s="147"/>
      <c r="HS96" s="147"/>
      <c r="HT96" s="147"/>
      <c r="HU96" s="147"/>
      <c r="HV96" s="147"/>
      <c r="HW96" s="147"/>
      <c r="HX96" s="147"/>
      <c r="HY96" s="147"/>
      <c r="HZ96" s="147"/>
    </row>
    <row r="97" spans="1:7" ht="12.75" hidden="1" customHeight="1" x14ac:dyDescent="0.3">
      <c r="A97" s="56"/>
      <c r="B97" s="197"/>
      <c r="C97" s="194"/>
      <c r="D97" s="195"/>
      <c r="E97" s="194"/>
      <c r="F97" s="160">
        <f>'TOMATE INVERNADERO '!F97*'Al 22.06.22'!$I$59</f>
        <v>0</v>
      </c>
      <c r="G97" s="196"/>
    </row>
    <row r="98" spans="1:7" ht="12.75" hidden="1" customHeight="1" x14ac:dyDescent="0.3">
      <c r="A98" s="56"/>
      <c r="B98" s="197"/>
      <c r="C98" s="194"/>
      <c r="D98" s="195"/>
      <c r="E98" s="194"/>
      <c r="F98" s="160">
        <f>'TOMATE INVERNADERO '!F98*'Al 22.06.22'!$I$59</f>
        <v>0</v>
      </c>
      <c r="G98" s="196"/>
    </row>
    <row r="99" spans="1:7" ht="12.75" customHeight="1" x14ac:dyDescent="0.3">
      <c r="A99" s="56"/>
      <c r="B99" s="193" t="s">
        <v>130</v>
      </c>
      <c r="C99" s="194"/>
      <c r="D99" s="195"/>
      <c r="E99" s="194"/>
      <c r="F99" s="160">
        <f>'TOMATE INVERNADERO '!F99*'Al 22.06.22'!$I$59</f>
        <v>0</v>
      </c>
      <c r="G99" s="196"/>
    </row>
    <row r="100" spans="1:7" ht="12.75" customHeight="1" x14ac:dyDescent="0.3">
      <c r="A100" s="56"/>
      <c r="B100" s="193" t="s">
        <v>117</v>
      </c>
      <c r="C100" s="194" t="s">
        <v>94</v>
      </c>
      <c r="D100" s="195">
        <v>0.5</v>
      </c>
      <c r="E100" s="194" t="s">
        <v>73</v>
      </c>
      <c r="F100" s="160">
        <f>'TOMATE INVERNADERO '!F100*'Al 22.06.22'!$I$59</f>
        <v>84751.663149999993</v>
      </c>
      <c r="G100" s="196">
        <f t="shared" si="2"/>
        <v>42375.831574999997</v>
      </c>
    </row>
    <row r="101" spans="1:7" ht="12.75" customHeight="1" x14ac:dyDescent="0.3">
      <c r="A101" s="56"/>
      <c r="B101" s="193" t="s">
        <v>118</v>
      </c>
      <c r="C101" s="194" t="s">
        <v>94</v>
      </c>
      <c r="D101" s="195">
        <v>1</v>
      </c>
      <c r="E101" s="194" t="s">
        <v>119</v>
      </c>
      <c r="F101" s="160">
        <f>'TOMATE INVERNADERO '!F101*'Al 22.06.22'!$I$59</f>
        <v>182678.73854999998</v>
      </c>
      <c r="G101" s="196">
        <f t="shared" si="2"/>
        <v>182678.73854999998</v>
      </c>
    </row>
    <row r="102" spans="1:7" ht="12.75" customHeight="1" x14ac:dyDescent="0.3">
      <c r="A102" s="56"/>
      <c r="B102" s="193" t="s">
        <v>120</v>
      </c>
      <c r="C102" s="194" t="s">
        <v>94</v>
      </c>
      <c r="D102" s="195">
        <v>1</v>
      </c>
      <c r="E102" s="194" t="s">
        <v>121</v>
      </c>
      <c r="F102" s="160">
        <f>'TOMATE INVERNADERO '!F102*'Al 22.06.22'!$I$59</f>
        <v>108575.59404999999</v>
      </c>
      <c r="G102" s="196">
        <f t="shared" si="2"/>
        <v>108575.59404999999</v>
      </c>
    </row>
    <row r="103" spans="1:7" ht="12.75" customHeight="1" x14ac:dyDescent="0.3">
      <c r="A103" s="56"/>
      <c r="B103" s="193" t="s">
        <v>122</v>
      </c>
      <c r="C103" s="194" t="s">
        <v>94</v>
      </c>
      <c r="D103" s="195">
        <v>6</v>
      </c>
      <c r="E103" s="194" t="s">
        <v>121</v>
      </c>
      <c r="F103" s="160">
        <f>'TOMATE INVERNADERO '!F103*'Al 22.06.22'!$I$59</f>
        <v>25002.816299999999</v>
      </c>
      <c r="G103" s="196">
        <f t="shared" si="2"/>
        <v>150016.89779999998</v>
      </c>
    </row>
    <row r="104" spans="1:7" ht="12.75" customHeight="1" x14ac:dyDescent="0.3">
      <c r="A104" s="56"/>
      <c r="B104" s="193" t="s">
        <v>123</v>
      </c>
      <c r="C104" s="194" t="s">
        <v>94</v>
      </c>
      <c r="D104" s="195">
        <v>1</v>
      </c>
      <c r="E104" s="194" t="s">
        <v>119</v>
      </c>
      <c r="F104" s="160">
        <f>'TOMATE INVERNADERO '!F104*'Al 22.06.22'!$I$59</f>
        <v>245342.46659999996</v>
      </c>
      <c r="G104" s="196">
        <f t="shared" si="2"/>
        <v>245342.46659999996</v>
      </c>
    </row>
    <row r="105" spans="1:7" ht="12.75" customHeight="1" x14ac:dyDescent="0.3">
      <c r="A105" s="56"/>
      <c r="B105" s="193" t="s">
        <v>144</v>
      </c>
      <c r="C105" s="194" t="s">
        <v>142</v>
      </c>
      <c r="D105" s="195">
        <v>5</v>
      </c>
      <c r="E105" s="194" t="s">
        <v>143</v>
      </c>
      <c r="F105" s="160">
        <f>'TOMATE INVERNADERO '!F105*'Al 22.06.22'!$I$59</f>
        <v>2148.8543999999997</v>
      </c>
      <c r="G105" s="196">
        <f t="shared" si="2"/>
        <v>10744.271999999999</v>
      </c>
    </row>
    <row r="106" spans="1:7" ht="12.75" customHeight="1" x14ac:dyDescent="0.3">
      <c r="A106" s="56"/>
      <c r="B106" s="193" t="s">
        <v>124</v>
      </c>
      <c r="C106" s="194" t="s">
        <v>94</v>
      </c>
      <c r="D106" s="195">
        <v>1</v>
      </c>
      <c r="E106" s="194" t="s">
        <v>125</v>
      </c>
      <c r="F106" s="160">
        <f>'TOMATE INVERNADERO '!F106*'Al 22.06.22'!$I$59</f>
        <v>80478.825349999985</v>
      </c>
      <c r="G106" s="196">
        <f t="shared" si="2"/>
        <v>80478.825349999985</v>
      </c>
    </row>
    <row r="107" spans="1:7" ht="12.75" customHeight="1" x14ac:dyDescent="0.3">
      <c r="A107" s="56"/>
      <c r="B107" s="193" t="s">
        <v>154</v>
      </c>
      <c r="C107" s="194" t="s">
        <v>60</v>
      </c>
      <c r="D107" s="195">
        <v>1</v>
      </c>
      <c r="E107" s="194" t="s">
        <v>173</v>
      </c>
      <c r="F107" s="160">
        <f>'TOMATE INVERNADERO '!F107*'Al 22.06.22'!$I$59</f>
        <v>214609.56</v>
      </c>
      <c r="G107" s="196">
        <f t="shared" si="2"/>
        <v>214609.56</v>
      </c>
    </row>
    <row r="108" spans="1:7" ht="12.75" customHeight="1" x14ac:dyDescent="0.3">
      <c r="A108" s="56"/>
      <c r="B108" s="197" t="s">
        <v>156</v>
      </c>
      <c r="C108" s="194"/>
      <c r="D108" s="195"/>
      <c r="E108" s="194"/>
      <c r="F108" s="160">
        <f>'TOMATE INVERNADERO '!F108*'Al 22.06.22'!$I$59</f>
        <v>0</v>
      </c>
      <c r="G108" s="196"/>
    </row>
    <row r="109" spans="1:7" ht="12.75" customHeight="1" x14ac:dyDescent="0.3">
      <c r="A109" s="56"/>
      <c r="B109" s="170" t="s">
        <v>172</v>
      </c>
      <c r="C109" s="171" t="s">
        <v>162</v>
      </c>
      <c r="D109" s="172">
        <v>6</v>
      </c>
      <c r="E109" s="169" t="s">
        <v>134</v>
      </c>
      <c r="F109" s="160">
        <f>'TOMATE INVERNADERO '!F109*'Al 22.06.22'!$I$59</f>
        <v>47876.674999999996</v>
      </c>
      <c r="G109" s="173">
        <f t="shared" si="2"/>
        <v>287260.05</v>
      </c>
    </row>
    <row r="110" spans="1:7" ht="12.75" customHeight="1" x14ac:dyDescent="0.3">
      <c r="A110" s="56"/>
      <c r="B110" s="136" t="s">
        <v>157</v>
      </c>
      <c r="C110" s="94"/>
      <c r="D110" s="96"/>
      <c r="E110" s="94"/>
      <c r="F110" s="160">
        <f>'TOMATE INVERNADERO '!F110*'Al 22.06.22'!$I$59</f>
        <v>0</v>
      </c>
      <c r="G110" s="97">
        <f t="shared" si="2"/>
        <v>0</v>
      </c>
    </row>
    <row r="111" spans="1:7" ht="12.75" customHeight="1" x14ac:dyDescent="0.3">
      <c r="A111" s="56"/>
      <c r="B111" s="99" t="s">
        <v>158</v>
      </c>
      <c r="C111" s="94" t="s">
        <v>160</v>
      </c>
      <c r="D111" s="96">
        <v>20</v>
      </c>
      <c r="E111" s="169" t="s">
        <v>134</v>
      </c>
      <c r="F111" s="160">
        <f>'TOMATE INVERNADERO '!F111*'Al 22.06.22'!$I$59</f>
        <v>2797.9874999999997</v>
      </c>
      <c r="G111" s="97">
        <f t="shared" si="2"/>
        <v>55959.749999999993</v>
      </c>
    </row>
    <row r="112" spans="1:7" ht="12.75" customHeight="1" x14ac:dyDescent="0.3">
      <c r="A112" s="56"/>
      <c r="B112" s="144" t="s">
        <v>135</v>
      </c>
      <c r="C112" s="199" t="s">
        <v>159</v>
      </c>
      <c r="D112" s="152">
        <f>2/2</f>
        <v>1</v>
      </c>
      <c r="E112" s="169" t="s">
        <v>134</v>
      </c>
      <c r="F112" s="160">
        <f>'TOMATE INVERNADERO '!F112*'Al 22.06.22'!$I$59</f>
        <v>69638.799999999988</v>
      </c>
      <c r="G112" s="152">
        <f>F112*D112</f>
        <v>69638.799999999988</v>
      </c>
    </row>
    <row r="113" spans="1:7" ht="12.75" customHeight="1" x14ac:dyDescent="0.3">
      <c r="A113" s="56"/>
      <c r="B113" s="99"/>
      <c r="C113" s="94"/>
      <c r="D113" s="96"/>
      <c r="E113" s="94"/>
      <c r="F113" s="160">
        <f>'TOMATE INVERNADERO '!F113*'Al 22.06.22'!$I$59</f>
        <v>0</v>
      </c>
      <c r="G113" s="97"/>
    </row>
    <row r="114" spans="1:7" ht="13.5" customHeight="1" x14ac:dyDescent="0.3">
      <c r="A114" s="56"/>
      <c r="B114" s="121" t="s">
        <v>30</v>
      </c>
      <c r="C114" s="122"/>
      <c r="D114" s="122"/>
      <c r="E114" s="122"/>
      <c r="F114" s="123"/>
      <c r="G114" s="130">
        <f>SUM(G58:G112)</f>
        <v>21243782.466150731</v>
      </c>
    </row>
    <row r="115" spans="1:7" ht="12" customHeight="1" x14ac:dyDescent="0.3">
      <c r="A115" s="2"/>
      <c r="B115" s="116"/>
      <c r="C115" s="117"/>
      <c r="D115" s="117"/>
      <c r="E115" s="118"/>
      <c r="F115" s="119"/>
      <c r="G115" s="120"/>
    </row>
    <row r="116" spans="1:7" ht="12" customHeight="1" x14ac:dyDescent="0.3">
      <c r="A116" s="5"/>
      <c r="B116" s="29" t="s">
        <v>31</v>
      </c>
      <c r="C116" s="30"/>
      <c r="D116" s="31"/>
      <c r="E116" s="31"/>
      <c r="F116" s="32"/>
      <c r="G116" s="106"/>
    </row>
    <row r="117" spans="1:7" ht="24" customHeight="1" x14ac:dyDescent="0.3">
      <c r="A117" s="5"/>
      <c r="B117" s="115" t="s">
        <v>32</v>
      </c>
      <c r="C117" s="95" t="s">
        <v>28</v>
      </c>
      <c r="D117" s="95" t="s">
        <v>29</v>
      </c>
      <c r="E117" s="115" t="s">
        <v>17</v>
      </c>
      <c r="F117" s="95" t="s">
        <v>18</v>
      </c>
      <c r="G117" s="115" t="s">
        <v>19</v>
      </c>
    </row>
    <row r="118" spans="1:7" ht="16.5" customHeight="1" x14ac:dyDescent="0.3">
      <c r="A118" s="56"/>
      <c r="B118" s="174" t="s">
        <v>131</v>
      </c>
      <c r="C118" s="174" t="s">
        <v>132</v>
      </c>
      <c r="D118" s="174">
        <v>6</v>
      </c>
      <c r="E118" s="174" t="s">
        <v>133</v>
      </c>
      <c r="F118" s="175">
        <v>120000</v>
      </c>
      <c r="G118" s="175">
        <f t="shared" ref="G118" si="3">F118*D118</f>
        <v>720000</v>
      </c>
    </row>
    <row r="119" spans="1:7" ht="13.5" customHeight="1" x14ac:dyDescent="0.3">
      <c r="A119" s="5"/>
      <c r="B119" s="153" t="s">
        <v>33</v>
      </c>
      <c r="C119" s="47"/>
      <c r="D119" s="47"/>
      <c r="E119" s="114"/>
      <c r="F119" s="48"/>
      <c r="G119" s="131">
        <f>SUM(G118)</f>
        <v>720000</v>
      </c>
    </row>
    <row r="120" spans="1:7" ht="12" customHeight="1" x14ac:dyDescent="0.3">
      <c r="A120" s="2"/>
      <c r="B120" s="59"/>
      <c r="C120" s="59"/>
      <c r="D120" s="59"/>
      <c r="E120" s="59"/>
      <c r="F120" s="60"/>
      <c r="G120" s="109"/>
    </row>
    <row r="121" spans="1:7" ht="12" customHeight="1" x14ac:dyDescent="0.3">
      <c r="A121" s="56"/>
      <c r="B121" s="61" t="s">
        <v>34</v>
      </c>
      <c r="C121" s="62"/>
      <c r="D121" s="62"/>
      <c r="E121" s="62"/>
      <c r="F121" s="62"/>
      <c r="G121" s="63">
        <f>G43+G48+G54+G114+G119</f>
        <v>39893182.466150731</v>
      </c>
    </row>
    <row r="122" spans="1:7" ht="12" customHeight="1" x14ac:dyDescent="0.3">
      <c r="A122" s="56"/>
      <c r="B122" s="64" t="s">
        <v>35</v>
      </c>
      <c r="C122" s="50"/>
      <c r="D122" s="50"/>
      <c r="E122" s="50"/>
      <c r="F122" s="50"/>
      <c r="G122" s="65">
        <f>G121*0.05</f>
        <v>1994659.1233075366</v>
      </c>
    </row>
    <row r="123" spans="1:7" ht="12" customHeight="1" x14ac:dyDescent="0.3">
      <c r="A123" s="56"/>
      <c r="B123" s="66" t="s">
        <v>36</v>
      </c>
      <c r="C123" s="49"/>
      <c r="D123" s="49"/>
      <c r="E123" s="49"/>
      <c r="F123" s="49"/>
      <c r="G123" s="67">
        <f>G122+G121</f>
        <v>41887841.589458264</v>
      </c>
    </row>
    <row r="124" spans="1:7" ht="12" customHeight="1" x14ac:dyDescent="0.3">
      <c r="A124" s="56"/>
      <c r="B124" s="64" t="s">
        <v>37</v>
      </c>
      <c r="C124" s="50"/>
      <c r="D124" s="50"/>
      <c r="E124" s="50"/>
      <c r="F124" s="50"/>
      <c r="G124" s="65">
        <f>G12</f>
        <v>50000000</v>
      </c>
    </row>
    <row r="125" spans="1:7" ht="12" customHeight="1" x14ac:dyDescent="0.3">
      <c r="A125" s="56"/>
      <c r="B125" s="68" t="s">
        <v>38</v>
      </c>
      <c r="C125" s="69"/>
      <c r="D125" s="69"/>
      <c r="E125" s="69"/>
      <c r="F125" s="69"/>
      <c r="G125" s="63">
        <f>G124-G123</f>
        <v>8112158.4105417356</v>
      </c>
    </row>
    <row r="126" spans="1:7" ht="12" customHeight="1" x14ac:dyDescent="0.3">
      <c r="A126" s="56"/>
      <c r="B126" s="57" t="s">
        <v>39</v>
      </c>
      <c r="C126" s="58"/>
      <c r="D126" s="58"/>
      <c r="E126" s="58"/>
      <c r="F126" s="58"/>
      <c r="G126" s="110"/>
    </row>
    <row r="127" spans="1:7" ht="12.75" customHeight="1" thickBot="1" x14ac:dyDescent="0.35">
      <c r="A127" s="56"/>
      <c r="B127" s="70"/>
      <c r="C127" s="58"/>
      <c r="D127" s="58"/>
      <c r="E127" s="58"/>
      <c r="F127" s="58"/>
      <c r="G127" s="110"/>
    </row>
    <row r="128" spans="1:7" ht="12" customHeight="1" x14ac:dyDescent="0.3">
      <c r="A128" s="56"/>
      <c r="B128" s="81" t="s">
        <v>40</v>
      </c>
      <c r="C128" s="82"/>
      <c r="D128" s="82"/>
      <c r="E128" s="82"/>
      <c r="F128" s="83"/>
      <c r="G128" s="110"/>
    </row>
    <row r="129" spans="1:7" ht="12" customHeight="1" x14ac:dyDescent="0.3">
      <c r="A129" s="56"/>
      <c r="B129" s="84" t="s">
        <v>41</v>
      </c>
      <c r="C129" s="55"/>
      <c r="D129" s="55"/>
      <c r="E129" s="55"/>
      <c r="F129" s="85"/>
      <c r="G129" s="110"/>
    </row>
    <row r="130" spans="1:7" ht="12" customHeight="1" x14ac:dyDescent="0.3">
      <c r="A130" s="56"/>
      <c r="B130" s="84" t="s">
        <v>42</v>
      </c>
      <c r="C130" s="55"/>
      <c r="D130" s="55"/>
      <c r="E130" s="55"/>
      <c r="F130" s="85"/>
      <c r="G130" s="110"/>
    </row>
    <row r="131" spans="1:7" ht="12" customHeight="1" x14ac:dyDescent="0.3">
      <c r="A131" s="56"/>
      <c r="B131" s="84" t="s">
        <v>43</v>
      </c>
      <c r="C131" s="55"/>
      <c r="D131" s="55"/>
      <c r="E131" s="55"/>
      <c r="F131" s="85"/>
      <c r="G131" s="110"/>
    </row>
    <row r="132" spans="1:7" ht="12" customHeight="1" x14ac:dyDescent="0.3">
      <c r="A132" s="56"/>
      <c r="B132" s="84" t="s">
        <v>44</v>
      </c>
      <c r="C132" s="55"/>
      <c r="D132" s="55"/>
      <c r="E132" s="55"/>
      <c r="F132" s="85"/>
      <c r="G132" s="110"/>
    </row>
    <row r="133" spans="1:7" ht="12" customHeight="1" x14ac:dyDescent="0.3">
      <c r="A133" s="56"/>
      <c r="B133" s="84" t="s">
        <v>45</v>
      </c>
      <c r="C133" s="55"/>
      <c r="D133" s="55"/>
      <c r="E133" s="55"/>
      <c r="F133" s="85"/>
      <c r="G133" s="110"/>
    </row>
    <row r="134" spans="1:7" ht="12.75" customHeight="1" thickBot="1" x14ac:dyDescent="0.35">
      <c r="A134" s="56"/>
      <c r="B134" s="86" t="s">
        <v>46</v>
      </c>
      <c r="C134" s="87"/>
      <c r="D134" s="87"/>
      <c r="E134" s="87"/>
      <c r="F134" s="88"/>
      <c r="G134" s="110"/>
    </row>
    <row r="135" spans="1:7" ht="12.75" customHeight="1" x14ac:dyDescent="0.3">
      <c r="A135" s="56"/>
      <c r="B135" s="79"/>
      <c r="C135" s="55"/>
      <c r="D135" s="55"/>
      <c r="E135" s="55"/>
      <c r="F135" s="55"/>
      <c r="G135" s="110"/>
    </row>
    <row r="136" spans="1:7" ht="15" customHeight="1" thickBot="1" x14ac:dyDescent="0.35">
      <c r="A136" s="56"/>
      <c r="B136" s="212" t="s">
        <v>47</v>
      </c>
      <c r="C136" s="213"/>
      <c r="D136" s="78"/>
      <c r="E136" s="51"/>
      <c r="F136" s="51"/>
      <c r="G136" s="110"/>
    </row>
    <row r="137" spans="1:7" ht="12" customHeight="1" x14ac:dyDescent="0.3">
      <c r="A137" s="56"/>
      <c r="B137" s="72" t="s">
        <v>32</v>
      </c>
      <c r="C137" s="132" t="s">
        <v>48</v>
      </c>
      <c r="D137" s="133" t="s">
        <v>49</v>
      </c>
      <c r="E137" s="51"/>
      <c r="F137" s="51"/>
      <c r="G137" s="110"/>
    </row>
    <row r="138" spans="1:7" ht="12" customHeight="1" x14ac:dyDescent="0.3">
      <c r="A138" s="56"/>
      <c r="B138" s="73" t="s">
        <v>50</v>
      </c>
      <c r="C138" s="52">
        <f>G43</f>
        <v>16718000</v>
      </c>
      <c r="D138" s="74">
        <f>(C138/C144)</f>
        <v>0.39911342684716772</v>
      </c>
      <c r="E138" s="51"/>
      <c r="F138" s="51"/>
      <c r="G138" s="110"/>
    </row>
    <row r="139" spans="1:7" ht="12" customHeight="1" x14ac:dyDescent="0.3">
      <c r="A139" s="56"/>
      <c r="B139" s="73" t="s">
        <v>51</v>
      </c>
      <c r="C139" s="52">
        <f>G48</f>
        <v>0</v>
      </c>
      <c r="D139" s="74">
        <v>0</v>
      </c>
      <c r="E139" s="51"/>
      <c r="F139" s="51"/>
      <c r="G139" s="110"/>
    </row>
    <row r="140" spans="1:7" ht="12" customHeight="1" x14ac:dyDescent="0.3">
      <c r="A140" s="56"/>
      <c r="B140" s="73" t="s">
        <v>52</v>
      </c>
      <c r="C140" s="52">
        <f>G54</f>
        <v>1211400</v>
      </c>
      <c r="D140" s="74">
        <f>(C140/C144)</f>
        <v>2.8920086450691409E-2</v>
      </c>
      <c r="E140" s="51"/>
      <c r="F140" s="51"/>
      <c r="G140" s="110"/>
    </row>
    <row r="141" spans="1:7" ht="12" customHeight="1" x14ac:dyDescent="0.3">
      <c r="A141" s="56"/>
      <c r="B141" s="73" t="s">
        <v>27</v>
      </c>
      <c r="C141" s="52">
        <f>G114</f>
        <v>21243782.466150731</v>
      </c>
      <c r="D141" s="74">
        <f>(C141/C144)</f>
        <v>0.50715868041997814</v>
      </c>
      <c r="E141" s="51"/>
      <c r="F141" s="51"/>
      <c r="G141" s="110"/>
    </row>
    <row r="142" spans="1:7" ht="12" customHeight="1" x14ac:dyDescent="0.3">
      <c r="A142" s="56"/>
      <c r="B142" s="73" t="s">
        <v>53</v>
      </c>
      <c r="C142" s="53">
        <f>G119</f>
        <v>720000</v>
      </c>
      <c r="D142" s="74">
        <f>(C142/C144)</f>
        <v>1.7188758663115249E-2</v>
      </c>
      <c r="E142" s="54"/>
      <c r="F142" s="54"/>
      <c r="G142" s="110"/>
    </row>
    <row r="143" spans="1:7" ht="12" customHeight="1" x14ac:dyDescent="0.3">
      <c r="A143" s="56"/>
      <c r="B143" s="73" t="s">
        <v>54</v>
      </c>
      <c r="C143" s="53">
        <f>G122</f>
        <v>1994659.1233075366</v>
      </c>
      <c r="D143" s="74">
        <f>(C143/C144)</f>
        <v>4.7619047619047623E-2</v>
      </c>
      <c r="E143" s="54"/>
      <c r="F143" s="54"/>
      <c r="G143" s="110"/>
    </row>
    <row r="144" spans="1:7" ht="12.75" customHeight="1" thickBot="1" x14ac:dyDescent="0.35">
      <c r="A144" s="56"/>
      <c r="B144" s="75" t="s">
        <v>55</v>
      </c>
      <c r="C144" s="76">
        <f>SUM(C138:C143)</f>
        <v>41887841.589458264</v>
      </c>
      <c r="D144" s="77">
        <f>SUM(D138:D143)</f>
        <v>1</v>
      </c>
      <c r="E144" s="54"/>
      <c r="F144" s="54"/>
      <c r="G144" s="110"/>
    </row>
    <row r="145" spans="1:7" ht="12" customHeight="1" x14ac:dyDescent="0.3">
      <c r="A145" s="56"/>
      <c r="B145" s="70"/>
      <c r="C145" s="58"/>
      <c r="D145" s="58"/>
      <c r="E145" s="58"/>
      <c r="F145" s="58"/>
      <c r="G145" s="110"/>
    </row>
    <row r="146" spans="1:7" ht="12.75" customHeight="1" thickBot="1" x14ac:dyDescent="0.35">
      <c r="A146" s="56"/>
      <c r="B146" s="71"/>
      <c r="C146" s="58"/>
      <c r="D146" s="58"/>
      <c r="E146" s="58"/>
      <c r="F146" s="58"/>
      <c r="G146" s="110"/>
    </row>
    <row r="147" spans="1:7" ht="12" customHeight="1" thickBot="1" x14ac:dyDescent="0.35">
      <c r="A147" s="56"/>
      <c r="B147" s="209" t="s">
        <v>139</v>
      </c>
      <c r="C147" s="210"/>
      <c r="D147" s="210"/>
      <c r="E147" s="211"/>
      <c r="F147" s="54"/>
      <c r="G147" s="110"/>
    </row>
    <row r="148" spans="1:7" ht="12" customHeight="1" x14ac:dyDescent="0.3">
      <c r="A148" s="56"/>
      <c r="B148" s="90" t="s">
        <v>136</v>
      </c>
      <c r="C148" s="124">
        <v>110000</v>
      </c>
      <c r="D148" s="124">
        <f>G9</f>
        <v>125000</v>
      </c>
      <c r="E148" s="124">
        <v>135000</v>
      </c>
      <c r="F148" s="89"/>
      <c r="G148" s="111"/>
    </row>
    <row r="149" spans="1:7" ht="12.75" customHeight="1" thickBot="1" x14ac:dyDescent="0.35">
      <c r="A149" s="56"/>
      <c r="B149" s="75" t="s">
        <v>137</v>
      </c>
      <c r="C149" s="198">
        <f>G123/C148</f>
        <v>380.79855990416604</v>
      </c>
      <c r="D149" s="76">
        <f>(G123/D148)</f>
        <v>335.10273271566609</v>
      </c>
      <c r="E149" s="91">
        <f>(G123/E148)</f>
        <v>310.28030807006121</v>
      </c>
      <c r="F149" s="89"/>
      <c r="G149" s="111"/>
    </row>
    <row r="150" spans="1:7" ht="15.6" customHeight="1" x14ac:dyDescent="0.3">
      <c r="A150" s="56"/>
      <c r="B150" s="80" t="s">
        <v>56</v>
      </c>
      <c r="C150" s="55"/>
      <c r="D150" s="55"/>
      <c r="E150" s="55"/>
      <c r="F150" s="55"/>
      <c r="G150" s="112"/>
    </row>
  </sheetData>
  <mergeCells count="9">
    <mergeCell ref="B17:G17"/>
    <mergeCell ref="B136:C136"/>
    <mergeCell ref="B147:E147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E9754A-563E-4868-AB57-60F5299F80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DD9022-0117-4D8C-BD90-083DC46270A3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1030f0af-99cb-42f1-88fc-acec73331192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c5dbce2d-49dc-4afe-a5b0-d7fb7a901161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A37E084-A4AF-44A2-8C3B-277D438A4D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TOMATE INVERNADERO </vt:lpstr>
      <vt:lpstr>Al 22.06.22</vt:lpstr>
      <vt:lpstr>'TOMATE INVERNADERO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cp:lastPrinted>2022-01-31T19:48:34Z</cp:lastPrinted>
  <dcterms:created xsi:type="dcterms:W3CDTF">2020-11-27T12:49:26Z</dcterms:created>
  <dcterms:modified xsi:type="dcterms:W3CDTF">2022-06-30T16:43:23Z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