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ttps://indap-my.sharepoint.com/personal/msalinasa_indap_cl/Documents/FINANCIERO 2020-2021 (1)/Fichas/2022/Valparaíso 2022/Actualizadas al 22.06.2022/Quillota/"/>
    </mc:Choice>
  </mc:AlternateContent>
  <bookViews>
    <workbookView xWindow="0" yWindow="0" windowWidth="23040" windowHeight="8616"/>
  </bookViews>
  <sheets>
    <sheet name="TOMATE INVERNADERO " sheetId="1" r:id="rId1"/>
  </sheets>
  <definedNames>
    <definedName name="_xlnm.Print_Area" localSheetId="0">'TOMATE INVERNADERO '!$B$1:$G$150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" i="1" l="1"/>
  <c r="G22" i="1"/>
  <c r="G24" i="1"/>
  <c r="G25" i="1"/>
  <c r="G26" i="1"/>
  <c r="G43" i="1" s="1"/>
  <c r="G27" i="1"/>
  <c r="G28" i="1"/>
  <c r="G29" i="1"/>
  <c r="G30" i="1"/>
  <c r="G31" i="1"/>
  <c r="G32" i="1"/>
  <c r="G33" i="1"/>
  <c r="G34" i="1"/>
  <c r="G35" i="1"/>
  <c r="G36" i="1"/>
  <c r="G37" i="1"/>
  <c r="G38" i="1"/>
  <c r="G40" i="1"/>
  <c r="G42" i="1"/>
  <c r="D52" i="1"/>
  <c r="G52" i="1" s="1"/>
  <c r="G54" i="1" s="1"/>
  <c r="C140" i="1" s="1"/>
  <c r="F52" i="1"/>
  <c r="D53" i="1"/>
  <c r="G53" i="1" s="1"/>
  <c r="D59" i="1"/>
  <c r="G59" i="1" s="1"/>
  <c r="F60" i="1"/>
  <c r="G60" i="1"/>
  <c r="F61" i="1"/>
  <c r="G61" i="1"/>
  <c r="F62" i="1"/>
  <c r="G62" i="1" s="1"/>
  <c r="F63" i="1"/>
  <c r="G63" i="1"/>
  <c r="F64" i="1"/>
  <c r="G64" i="1"/>
  <c r="G65" i="1"/>
  <c r="G66" i="1"/>
  <c r="F67" i="1"/>
  <c r="G67" i="1"/>
  <c r="F69" i="1"/>
  <c r="G69" i="1"/>
  <c r="F70" i="1"/>
  <c r="G70" i="1" s="1"/>
  <c r="G71" i="1"/>
  <c r="G73" i="1"/>
  <c r="G76" i="1"/>
  <c r="F77" i="1"/>
  <c r="G77" i="1" s="1"/>
  <c r="F78" i="1"/>
  <c r="G78" i="1" s="1"/>
  <c r="G79" i="1"/>
  <c r="F80" i="1"/>
  <c r="G80" i="1"/>
  <c r="F81" i="1"/>
  <c r="G81" i="1"/>
  <c r="F82" i="1"/>
  <c r="G82" i="1"/>
  <c r="F83" i="1"/>
  <c r="G83" i="1"/>
  <c r="G84" i="1"/>
  <c r="F85" i="1"/>
  <c r="G85" i="1"/>
  <c r="F86" i="1"/>
  <c r="G86" i="1"/>
  <c r="F87" i="1"/>
  <c r="G87" i="1" s="1"/>
  <c r="F90" i="1"/>
  <c r="G90" i="1" s="1"/>
  <c r="F91" i="1"/>
  <c r="G91" i="1" s="1"/>
  <c r="F92" i="1"/>
  <c r="G92" i="1" s="1"/>
  <c r="F93" i="1"/>
  <c r="G93" i="1" s="1"/>
  <c r="G94" i="1"/>
  <c r="F95" i="1"/>
  <c r="G95" i="1" s="1"/>
  <c r="F100" i="1"/>
  <c r="G100" i="1"/>
  <c r="F101" i="1"/>
  <c r="G101" i="1"/>
  <c r="F102" i="1"/>
  <c r="G102" i="1" s="1"/>
  <c r="F103" i="1"/>
  <c r="G103" i="1"/>
  <c r="F104" i="1"/>
  <c r="G104" i="1"/>
  <c r="F105" i="1"/>
  <c r="G105" i="1" s="1"/>
  <c r="F106" i="1"/>
  <c r="G106" i="1"/>
  <c r="G107" i="1"/>
  <c r="F109" i="1"/>
  <c r="G109" i="1" s="1"/>
  <c r="G110" i="1"/>
  <c r="F111" i="1"/>
  <c r="G111" i="1"/>
  <c r="D112" i="1"/>
  <c r="F112" i="1"/>
  <c r="G112" i="1" s="1"/>
  <c r="G118" i="1"/>
  <c r="G119" i="1"/>
  <c r="C142" i="1" s="1"/>
  <c r="G124" i="1"/>
  <c r="C139" i="1"/>
  <c r="C138" i="1" l="1"/>
  <c r="G114" i="1"/>
  <c r="C141" i="1" s="1"/>
  <c r="G121" i="1" l="1"/>
  <c r="G122" i="1" s="1"/>
  <c r="D148" i="1"/>
  <c r="G123" i="1" l="1"/>
  <c r="G125" i="1" s="1"/>
  <c r="C143" i="1"/>
  <c r="C149" i="1"/>
  <c r="D143" i="1" l="1"/>
  <c r="C144" i="1"/>
  <c r="E149" i="1"/>
  <c r="D149" i="1"/>
  <c r="D140" i="1" l="1"/>
  <c r="D142" i="1"/>
  <c r="D138" i="1"/>
  <c r="D144" i="1" s="1"/>
  <c r="D141" i="1"/>
</calcChain>
</file>

<file path=xl/sharedStrings.xml><?xml version="1.0" encoding="utf-8"?>
<sst xmlns="http://schemas.openxmlformats.org/spreadsheetml/2006/main" count="299" uniqueCount="187">
  <si>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</si>
  <si>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</si>
  <si>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</si>
  <si>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</si>
  <si>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</si>
  <si>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</si>
  <si>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</si>
  <si>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</si>
  <si>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</si>
  <si>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</si>
  <si>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</si>
  <si>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</si>
  <si>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</si>
  <si>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</si>
  <si>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</si>
  <si>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</si>
  <si>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</si>
  <si>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</si>
  <si>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</si>
  <si>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</si>
  <si>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</si>
  <si>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</si>
  <si>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</si>
  <si>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</si>
  <si>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</si>
  <si>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</si>
  <si>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</si>
  <si>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</si>
  <si>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</si>
  <si>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</si>
  <si>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</si>
  <si>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</si>
  <si>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</si>
  <si>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</si>
  <si>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</si>
  <si>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</si>
  <si>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</si>
  <si>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</si>
  <si>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</si>
  <si>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</si>
  <si>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</si>
  <si>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</si>
  <si>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</si>
  <si>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</si>
  <si>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</si>
  <si>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</si>
  <si>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</si>
  <si>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</si>
  <si>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</si>
  <si>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</si>
  <si>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</si>
  <si>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</si>
  <si>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</si>
  <si>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</si>
  <si>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</si>
  <si>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</si>
  <si>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</si>
  <si>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 xml:space="preserve"> </t>
  </si>
  <si>
    <t>FERTILIZANTE</t>
  </si>
  <si>
    <t>u</t>
  </si>
  <si>
    <t>kg</t>
  </si>
  <si>
    <t>Sept</t>
  </si>
  <si>
    <t>Todas las comunas</t>
  </si>
  <si>
    <t xml:space="preserve">TOMATE INVERNADERO </t>
  </si>
  <si>
    <t>VALPARAISO</t>
  </si>
  <si>
    <t>RENDIMIENTO (Kg/ha)</t>
  </si>
  <si>
    <t>Marzo</t>
  </si>
  <si>
    <t>Abril</t>
  </si>
  <si>
    <t xml:space="preserve">Desparramar guano </t>
  </si>
  <si>
    <t>Mayo</t>
  </si>
  <si>
    <t xml:space="preserve">Poner cintas </t>
  </si>
  <si>
    <t>Fertilización de fondo</t>
  </si>
  <si>
    <t>Transplante plantines</t>
  </si>
  <si>
    <t>Junio</t>
  </si>
  <si>
    <t xml:space="preserve">Tumbar plantas hacia cada lado </t>
  </si>
  <si>
    <t>Julio</t>
  </si>
  <si>
    <t>Arreglo de racimo</t>
  </si>
  <si>
    <t>Sept-nov</t>
  </si>
  <si>
    <t xml:space="preserve">Despeje de racimos </t>
  </si>
  <si>
    <t>Sept-oct</t>
  </si>
  <si>
    <t xml:space="preserve">Conducción, amarra, poda </t>
  </si>
  <si>
    <t xml:space="preserve">Aplicación Fitosanitarios </t>
  </si>
  <si>
    <t>Jun-Dic</t>
  </si>
  <si>
    <t>Fertirriego</t>
  </si>
  <si>
    <t>Jul-Dic</t>
  </si>
  <si>
    <t>Ventilación</t>
  </si>
  <si>
    <t>Eliminación doble techo</t>
  </si>
  <si>
    <t>Limpieza pasillos</t>
  </si>
  <si>
    <t>Arranca de plantas y raspado de pasillos</t>
  </si>
  <si>
    <t>Dic</t>
  </si>
  <si>
    <t>Eliminación de rastrojo</t>
  </si>
  <si>
    <t>N/A</t>
  </si>
  <si>
    <t>horas</t>
  </si>
  <si>
    <t>metro lineal</t>
  </si>
  <si>
    <t>Kg</t>
  </si>
  <si>
    <t>Cinta garetta</t>
  </si>
  <si>
    <t>Guano ave descompuesto</t>
  </si>
  <si>
    <t>m3</t>
  </si>
  <si>
    <t>Mezcla 17-20-20</t>
  </si>
  <si>
    <t>Fosfato monopotasico soluble</t>
  </si>
  <si>
    <t>Julio-agosto</t>
  </si>
  <si>
    <t>Nitrato de potasio soluble</t>
  </si>
  <si>
    <t xml:space="preserve"> Kg</t>
  </si>
  <si>
    <t>Nitrato de calcio soluble</t>
  </si>
  <si>
    <t>Nitrato magnesio soluble</t>
  </si>
  <si>
    <t>Ultrasol multipropósito</t>
  </si>
  <si>
    <t>Ultrasol crecimiento</t>
  </si>
  <si>
    <t>Sulfato de potasio soluble</t>
  </si>
  <si>
    <t>Sulfato ferroso</t>
  </si>
  <si>
    <t xml:space="preserve">Acido fosforico </t>
  </si>
  <si>
    <t>Sep-Dic</t>
  </si>
  <si>
    <t>Kelpak</t>
  </si>
  <si>
    <t>Proclaim</t>
  </si>
  <si>
    <t>Hurricane</t>
  </si>
  <si>
    <t>Coragen</t>
  </si>
  <si>
    <t>Evisect</t>
  </si>
  <si>
    <t>Applaud</t>
  </si>
  <si>
    <t>Previcur Energy</t>
  </si>
  <si>
    <t>Bellis</t>
  </si>
  <si>
    <t>Ago-Oct</t>
  </si>
  <si>
    <t>Luna Experience</t>
  </si>
  <si>
    <t>Nov-Dic</t>
  </si>
  <si>
    <t>Goldazim</t>
  </si>
  <si>
    <t>Switch</t>
  </si>
  <si>
    <t>Mastercop</t>
  </si>
  <si>
    <t>Ago-Sept</t>
  </si>
  <si>
    <t>oct- dic</t>
  </si>
  <si>
    <t>Mercado Mayorista</t>
  </si>
  <si>
    <t xml:space="preserve">Heladas - sequia </t>
  </si>
  <si>
    <t>INSECTICIDAS</t>
  </si>
  <si>
    <t xml:space="preserve">FUNGICIDAS </t>
  </si>
  <si>
    <t>Energia electrica</t>
  </si>
  <si>
    <t>Global</t>
  </si>
  <si>
    <t>Jun-dic</t>
  </si>
  <si>
    <t>Agosto</t>
  </si>
  <si>
    <t xml:space="preserve">Tiras pegajosas adhesivas amarillas </t>
  </si>
  <si>
    <t>Rendimiento (kg/hà)</t>
  </si>
  <si>
    <t>Costo unitario ($/kg) (*)</t>
  </si>
  <si>
    <t>LT</t>
  </si>
  <si>
    <t>ESCENARIOS COSTO UNITARIO  ($/KG)</t>
  </si>
  <si>
    <t xml:space="preserve">Cosecha </t>
  </si>
  <si>
    <t>KG</t>
  </si>
  <si>
    <t>OCTUBRE Y MARZO</t>
  </si>
  <si>
    <t>Azufre Mojable</t>
  </si>
  <si>
    <t>Plantines tomate Alamina/ Kayser (injertado)</t>
  </si>
  <si>
    <t>ALAMINA</t>
  </si>
  <si>
    <t>MEDIO</t>
  </si>
  <si>
    <t xml:space="preserve">MANO DE OBRA COSECHA </t>
  </si>
  <si>
    <t>MANO DE OBRA SELECCIÓN/EMABALAJE</t>
  </si>
  <si>
    <t>PESTICIDAS</t>
  </si>
  <si>
    <t xml:space="preserve">PLANTAS INJERTADAS </t>
  </si>
  <si>
    <t>CUBIIERTA PLASTICA</t>
  </si>
  <si>
    <t xml:space="preserve">Nacilus </t>
  </si>
  <si>
    <t>Jabon potasico</t>
  </si>
  <si>
    <t>INSECTOS AUXILIARES</t>
  </si>
  <si>
    <r>
      <t xml:space="preserve">INSUMOS PARA </t>
    </r>
    <r>
      <rPr>
        <b/>
        <sz val="8"/>
        <color rgb="FF000000"/>
        <rFont val="Arial Narrow"/>
        <family val="2"/>
      </rPr>
      <t>MIP</t>
    </r>
  </si>
  <si>
    <t xml:space="preserve">Feromonas </t>
  </si>
  <si>
    <t>rollo 0,3 m x 100 m</t>
  </si>
  <si>
    <t>un</t>
  </si>
  <si>
    <t>PRECIO ESPERADO ($/Kg)</t>
  </si>
  <si>
    <t>unidad</t>
  </si>
  <si>
    <t>Ventanas 2 temporadas 0,15 mic (amortizado en 3 cultivos)</t>
  </si>
  <si>
    <t xml:space="preserve">Lucarnas 0,10 mc (amortizado en 2 cultivo) </t>
  </si>
  <si>
    <t>unidades</t>
  </si>
  <si>
    <t>Rollo Malla raschell negra 50%. 2,10x100 mt (amortizado en 8 cultivos)</t>
  </si>
  <si>
    <t>RIEGO</t>
  </si>
  <si>
    <t>global</t>
  </si>
  <si>
    <t>Profundizacion pozos  (amortizado en 8 cultivos)</t>
  </si>
  <si>
    <t>Diciembre</t>
  </si>
  <si>
    <t xml:space="preserve">Amortización (2 cultivos) Preparación de suelo (Rastra + Tiller + mesero) </t>
  </si>
  <si>
    <t>Colmena Abejorros</t>
  </si>
  <si>
    <t>Junio-julio</t>
  </si>
  <si>
    <t>lt</t>
  </si>
  <si>
    <t>oct-dic</t>
  </si>
  <si>
    <t>Amortizacion ( 3 cultivos) Instalación de cubierta plástica y malla antiafido</t>
  </si>
  <si>
    <t>PREPARACIÓN DE INVERNADEROS</t>
  </si>
  <si>
    <t xml:space="preserve">Cinta de riego 20 cm (amortizada en 2 cultivos) </t>
  </si>
  <si>
    <t>Amortización (3 cultivos)Polietileno 2 T 4 m  x 150 micrones</t>
  </si>
  <si>
    <t>Canaleta 2 temporadas 200 micrones (amortizado en 3 cultivos)</t>
  </si>
  <si>
    <t>Cortinas 2 temporadas 150 micrones  (amortizado en 3  cultivos)</t>
  </si>
  <si>
    <t xml:space="preserve">Selección embalaje </t>
  </si>
  <si>
    <t>MANO DE OBRA LABORES DEL CULTIVO</t>
  </si>
  <si>
    <t>Rollo Malla antiafidos 20/10 2 mtX100 mt (amortizado en 8 cultivos)</t>
  </si>
  <si>
    <t xml:space="preserve">Doble Techo 1 temporada 4 mt x 40 micrones (amortizado en 2 cultivos) </t>
  </si>
  <si>
    <t>Mulch negro-blanco  2 temporadas 1,2 m x 20 micrones x 1000 metros (amortizado en 2 cultivos)</t>
  </si>
  <si>
    <r>
      <t xml:space="preserve"> Amortizacion ( 2 cultivos)  </t>
    </r>
    <r>
      <rPr>
        <b/>
        <sz val="8"/>
        <color rgb="FF000000"/>
        <rFont val="Arial Narrow"/>
        <family val="2"/>
      </rPr>
      <t xml:space="preserve">Fumigacion de suelo </t>
    </r>
    <r>
      <rPr>
        <sz val="8"/>
        <color indexed="8"/>
        <rFont val="Arial Narrow"/>
        <family val="2"/>
      </rPr>
      <t>+ colocacion mulch (tractor)*</t>
    </r>
  </si>
  <si>
    <t xml:space="preserve">QUILLOTA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</si>
</sst>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 &quot;$&quot;* #,##0_ ;_ &quot;$&quot;* \-#,##0_ ;_ &quot;$&quot;* &quot;-&quot;_ ;_ @_ "/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29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0"/>
      <name val="Arial"/>
      <family val="2"/>
    </font>
    <font>
      <sz val="9"/>
      <color theme="1"/>
      <name val="Arial Narrow"/>
      <family val="2"/>
    </font>
    <font>
      <b/>
      <sz val="8"/>
      <color indexed="8"/>
      <name val="Arial Narrow"/>
      <family val="2"/>
    </font>
    <font>
      <sz val="11"/>
      <color indexed="8"/>
      <name val="Calibri"/>
      <family val="2"/>
    </font>
    <font>
      <b/>
      <sz val="8"/>
      <name val="Arial Narrow"/>
      <family val="2"/>
    </font>
    <font>
      <sz val="8"/>
      <name val="Arial Narrow"/>
      <family val="2"/>
    </font>
    <font>
      <sz val="8"/>
      <color rgb="FF000000"/>
      <name val="Arial Narrow"/>
      <family val="2"/>
    </font>
    <font>
      <sz val="9"/>
      <name val="Arial Narrow"/>
      <family val="2"/>
    </font>
    <font>
      <b/>
      <sz val="8"/>
      <color rgb="FF000000"/>
      <name val="Arial Narrow"/>
      <family val="2"/>
    </font>
    <font>
      <sz val="8"/>
      <name val="Calibri"/>
      <family val="2"/>
    </font>
    <font>
      <sz val="11"/>
      <color indexed="8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64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8"/>
      </bottom>
      <diagonal/>
    </border>
    <border>
      <left/>
      <right/>
      <top style="medium">
        <color indexed="64"/>
      </top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8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8"/>
      </bottom>
      <diagonal/>
    </border>
  </borders>
  <cellStyleXfs count="8">
    <xf numFmtId="0" fontId="0" fillId="0" borderId="0" applyNumberFormat="0" applyFill="0" applyBorder="0" applyProtection="0"/>
    <xf numFmtId="0" fontId="18" fillId="0" borderId="20"/>
    <xf numFmtId="0" fontId="21" fillId="0" borderId="20" applyNumberFormat="0" applyFill="0" applyBorder="0" applyProtection="0"/>
    <xf numFmtId="41" fontId="21" fillId="0" borderId="20" applyFont="0" applyFill="0" applyBorder="0" applyAlignment="0" applyProtection="0"/>
    <xf numFmtId="9" fontId="21" fillId="0" borderId="20" applyFont="0" applyFill="0" applyBorder="0" applyAlignment="0" applyProtection="0"/>
    <xf numFmtId="42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41" fontId="28" fillId="0" borderId="0" applyFont="0" applyFill="0" applyBorder="0" applyAlignment="0" applyProtection="0"/>
  </cellStyleXfs>
  <cellXfs count="239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49" fontId="1" fillId="3" borderId="5" xfId="0" applyNumberFormat="1" applyFont="1" applyFill="1" applyBorder="1" applyAlignment="1">
      <alignment vertical="center" wrapText="1"/>
    </xf>
    <xf numFmtId="0" fontId="2" fillId="2" borderId="7" xfId="0" applyFont="1" applyFill="1" applyBorder="1" applyAlignment="1"/>
    <xf numFmtId="49" fontId="4" fillId="2" borderId="5" xfId="0" applyNumberFormat="1" applyFont="1" applyFill="1" applyBorder="1" applyAlignment="1">
      <alignment vertical="center" wrapText="1"/>
    </xf>
    <xf numFmtId="0" fontId="5" fillId="2" borderId="7" xfId="0" applyFont="1" applyFill="1" applyBorder="1" applyAlignment="1"/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9" xfId="0" applyFont="1" applyFill="1" applyBorder="1" applyAlignment="1"/>
    <xf numFmtId="0" fontId="0" fillId="2" borderId="10" xfId="0" applyFont="1" applyFill="1" applyBorder="1" applyAlignment="1"/>
    <xf numFmtId="0" fontId="2" fillId="2" borderId="11" xfId="0" applyFont="1" applyFill="1" applyBorder="1" applyAlignment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 applyAlignment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2" fillId="2" borderId="12" xfId="0" applyNumberFormat="1" applyFont="1" applyFill="1" applyBorder="1" applyAlignment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0" fontId="2" fillId="2" borderId="17" xfId="0" applyFont="1" applyFill="1" applyBorder="1" applyAlignment="1"/>
    <xf numFmtId="0" fontId="2" fillId="2" borderId="18" xfId="0" applyFont="1" applyFill="1" applyBorder="1" applyAlignment="1"/>
    <xf numFmtId="3" fontId="2" fillId="2" borderId="18" xfId="0" applyNumberFormat="1" applyFont="1" applyFill="1" applyBorder="1" applyAlignment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0" fontId="8" fillId="3" borderId="19" xfId="0" applyFont="1" applyFill="1" applyBorder="1" applyAlignment="1">
      <alignment horizontal="center" vertical="center"/>
    </xf>
    <xf numFmtId="0" fontId="8" fillId="3" borderId="19" xfId="0" applyFont="1" applyFill="1" applyBorder="1" applyAlignment="1">
      <alignment vertic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14" fillId="6" borderId="20" xfId="0" applyFont="1" applyFill="1" applyBorder="1" applyAlignment="1"/>
    <xf numFmtId="3" fontId="12" fillId="2" borderId="6" xfId="0" applyNumberFormat="1" applyFont="1" applyFill="1" applyBorder="1" applyAlignment="1">
      <alignment vertical="center"/>
    </xf>
    <xf numFmtId="165" fontId="12" fillId="2" borderId="6" xfId="0" applyNumberFormat="1" applyFont="1" applyFill="1" applyBorder="1" applyAlignment="1">
      <alignment vertical="center"/>
    </xf>
    <xf numFmtId="0" fontId="9" fillId="6" borderId="20" xfId="0" applyFont="1" applyFill="1" applyBorder="1" applyAlignment="1">
      <alignment vertical="center"/>
    </xf>
    <xf numFmtId="0" fontId="14" fillId="2" borderId="20" xfId="0" applyFont="1" applyFill="1" applyBorder="1" applyAlignment="1"/>
    <xf numFmtId="0" fontId="0" fillId="2" borderId="22" xfId="0" applyFont="1" applyFill="1" applyBorder="1" applyAlignment="1"/>
    <xf numFmtId="49" fontId="0" fillId="2" borderId="20" xfId="0" applyNumberFormat="1" applyFont="1" applyFill="1" applyBorder="1" applyAlignment="1">
      <alignment vertical="center"/>
    </xf>
    <xf numFmtId="0" fontId="9" fillId="2" borderId="20" xfId="0" applyFont="1" applyFill="1" applyBorder="1" applyAlignment="1">
      <alignment vertical="center"/>
    </xf>
    <xf numFmtId="0" fontId="2" fillId="2" borderId="23" xfId="0" applyFont="1" applyFill="1" applyBorder="1" applyAlignment="1"/>
    <xf numFmtId="3" fontId="2" fillId="2" borderId="23" xfId="0" applyNumberFormat="1" applyFont="1" applyFill="1" applyBorder="1" applyAlignment="1"/>
    <xf numFmtId="49" fontId="1" fillId="5" borderId="24" xfId="0" applyNumberFormat="1" applyFont="1" applyFill="1" applyBorder="1" applyAlignment="1">
      <alignment vertical="center"/>
    </xf>
    <xf numFmtId="0" fontId="1" fillId="5" borderId="25" xfId="0" applyFont="1" applyFill="1" applyBorder="1" applyAlignment="1">
      <alignment vertical="center"/>
    </xf>
    <xf numFmtId="164" fontId="1" fillId="5" borderId="26" xfId="0" applyNumberFormat="1" applyFont="1" applyFill="1" applyBorder="1" applyAlignment="1">
      <alignment vertical="center"/>
    </xf>
    <xf numFmtId="49" fontId="1" fillId="3" borderId="27" xfId="0" applyNumberFormat="1" applyFont="1" applyFill="1" applyBorder="1" applyAlignment="1">
      <alignment vertical="center"/>
    </xf>
    <xf numFmtId="164" fontId="1" fillId="3" borderId="28" xfId="0" applyNumberFormat="1" applyFont="1" applyFill="1" applyBorder="1" applyAlignment="1">
      <alignment vertical="center"/>
    </xf>
    <xf numFmtId="49" fontId="1" fillId="5" borderId="27" xfId="0" applyNumberFormat="1" applyFont="1" applyFill="1" applyBorder="1" applyAlignment="1">
      <alignment vertical="center"/>
    </xf>
    <xf numFmtId="164" fontId="1" fillId="5" borderId="28" xfId="0" applyNumberFormat="1" applyFont="1" applyFill="1" applyBorder="1" applyAlignment="1">
      <alignment vertical="center"/>
    </xf>
    <xf numFmtId="49" fontId="1" fillId="5" borderId="29" xfId="0" applyNumberFormat="1" applyFont="1" applyFill="1" applyBorder="1" applyAlignment="1">
      <alignment vertical="center"/>
    </xf>
    <xf numFmtId="0" fontId="9" fillId="5" borderId="30" xfId="0" applyFont="1" applyFill="1" applyBorder="1" applyAlignment="1">
      <alignment vertical="center"/>
    </xf>
    <xf numFmtId="0" fontId="0" fillId="2" borderId="20" xfId="0" applyFont="1" applyFill="1" applyBorder="1" applyAlignment="1">
      <alignment vertical="center"/>
    </xf>
    <xf numFmtId="0" fontId="15" fillId="2" borderId="20" xfId="0" applyFont="1" applyFill="1" applyBorder="1" applyAlignment="1">
      <alignment vertical="center"/>
    </xf>
    <xf numFmtId="49" fontId="12" fillId="7" borderId="31" xfId="0" applyNumberFormat="1" applyFont="1" applyFill="1" applyBorder="1" applyAlignment="1">
      <alignment vertical="center"/>
    </xf>
    <xf numFmtId="49" fontId="12" fillId="2" borderId="33" xfId="0" applyNumberFormat="1" applyFont="1" applyFill="1" applyBorder="1" applyAlignment="1">
      <alignment vertical="center"/>
    </xf>
    <xf numFmtId="49" fontId="12" fillId="7" borderId="34" xfId="0" applyNumberFormat="1" applyFont="1" applyFill="1" applyBorder="1" applyAlignment="1">
      <alignment vertical="center"/>
    </xf>
    <xf numFmtId="165" fontId="12" fillId="7" borderId="35" xfId="0" applyNumberFormat="1" applyFont="1" applyFill="1" applyBorder="1" applyAlignment="1">
      <alignment vertical="center"/>
    </xf>
    <xf numFmtId="9" fontId="12" fillId="7" borderId="36" xfId="0" applyNumberFormat="1" applyFont="1" applyFill="1" applyBorder="1" applyAlignment="1">
      <alignment vertical="center"/>
    </xf>
    <xf numFmtId="0" fontId="14" fillId="2" borderId="20" xfId="0" applyFont="1" applyFill="1" applyBorder="1" applyAlignment="1">
      <alignment vertical="center"/>
    </xf>
    <xf numFmtId="49" fontId="14" fillId="2" borderId="20" xfId="0" applyNumberFormat="1" applyFont="1" applyFill="1" applyBorder="1" applyAlignment="1">
      <alignment vertical="center"/>
    </xf>
    <xf numFmtId="49" fontId="12" fillId="2" borderId="37" xfId="0" applyNumberFormat="1" applyFont="1" applyFill="1" applyBorder="1" applyAlignment="1">
      <alignment vertical="center"/>
    </xf>
    <xf numFmtId="0" fontId="14" fillId="2" borderId="38" xfId="0" applyFont="1" applyFill="1" applyBorder="1" applyAlignment="1"/>
    <xf numFmtId="0" fontId="14" fillId="2" borderId="39" xfId="0" applyFont="1" applyFill="1" applyBorder="1" applyAlignment="1"/>
    <xf numFmtId="49" fontId="14" fillId="2" borderId="40" xfId="0" applyNumberFormat="1" applyFont="1" applyFill="1" applyBorder="1" applyAlignment="1">
      <alignment vertical="center"/>
    </xf>
    <xf numFmtId="0" fontId="14" fillId="2" borderId="41" xfId="0" applyFont="1" applyFill="1" applyBorder="1" applyAlignment="1"/>
    <xf numFmtId="49" fontId="14" fillId="2" borderId="42" xfId="0" applyNumberFormat="1" applyFont="1" applyFill="1" applyBorder="1" applyAlignment="1">
      <alignment vertical="center"/>
    </xf>
    <xf numFmtId="0" fontId="14" fillId="2" borderId="43" xfId="0" applyFont="1" applyFill="1" applyBorder="1" applyAlignment="1"/>
    <xf numFmtId="0" fontId="14" fillId="2" borderId="44" xfId="0" applyFont="1" applyFill="1" applyBorder="1" applyAlignment="1"/>
    <xf numFmtId="0" fontId="12" fillId="6" borderId="20" xfId="0" applyFont="1" applyFill="1" applyBorder="1" applyAlignment="1">
      <alignment vertical="center"/>
    </xf>
    <xf numFmtId="49" fontId="12" fillId="7" borderId="45" xfId="0" applyNumberFormat="1" applyFont="1" applyFill="1" applyBorder="1" applyAlignment="1">
      <alignment vertical="center"/>
    </xf>
    <xf numFmtId="165" fontId="12" fillId="7" borderId="36" xfId="0" applyNumberFormat="1" applyFont="1" applyFill="1" applyBorder="1" applyAlignment="1">
      <alignment vertical="center"/>
    </xf>
    <xf numFmtId="3" fontId="2" fillId="2" borderId="15" xfId="0" applyNumberFormat="1" applyFont="1" applyFill="1" applyBorder="1" applyAlignment="1">
      <alignment vertical="center"/>
    </xf>
    <xf numFmtId="0" fontId="4" fillId="2" borderId="6" xfId="0" applyNumberFormat="1" applyFont="1" applyFill="1" applyBorder="1" applyAlignment="1">
      <alignment horizontal="center" wrapText="1"/>
    </xf>
    <xf numFmtId="49" fontId="4" fillId="2" borderId="47" xfId="0" applyNumberFormat="1" applyFont="1" applyFill="1" applyBorder="1" applyAlignment="1">
      <alignment horizontal="center"/>
    </xf>
    <xf numFmtId="49" fontId="1" fillId="3" borderId="48" xfId="0" applyNumberFormat="1" applyFont="1" applyFill="1" applyBorder="1" applyAlignment="1">
      <alignment horizontal="center" vertical="center" wrapText="1"/>
    </xf>
    <xf numFmtId="0" fontId="4" fillId="2" borderId="47" xfId="0" applyNumberFormat="1" applyFont="1" applyFill="1" applyBorder="1" applyAlignment="1">
      <alignment horizontal="center"/>
    </xf>
    <xf numFmtId="3" fontId="4" fillId="2" borderId="47" xfId="0" applyNumberFormat="1" applyFont="1" applyFill="1" applyBorder="1" applyAlignment="1">
      <alignment horizontal="center"/>
    </xf>
    <xf numFmtId="0" fontId="4" fillId="2" borderId="47" xfId="0" applyFont="1" applyFill="1" applyBorder="1" applyAlignment="1">
      <alignment horizontal="center" vertical="center" wrapText="1"/>
    </xf>
    <xf numFmtId="49" fontId="4" fillId="2" borderId="47" xfId="0" applyNumberFormat="1" applyFont="1" applyFill="1" applyBorder="1" applyAlignment="1">
      <alignment horizontal="left"/>
    </xf>
    <xf numFmtId="0" fontId="0" fillId="2" borderId="1" xfId="0" applyFont="1" applyFill="1" applyBorder="1" applyAlignment="1">
      <alignment horizontal="right"/>
    </xf>
    <xf numFmtId="0" fontId="0" fillId="2" borderId="3" xfId="0" applyFont="1" applyFill="1" applyBorder="1" applyAlignment="1">
      <alignment horizontal="right"/>
    </xf>
    <xf numFmtId="3" fontId="2" fillId="2" borderId="12" xfId="0" applyNumberFormat="1" applyFont="1" applyFill="1" applyBorder="1" applyAlignment="1">
      <alignment horizontal="right"/>
    </xf>
    <xf numFmtId="0" fontId="2" fillId="2" borderId="2" xfId="0" applyFont="1" applyFill="1" applyBorder="1" applyAlignment="1">
      <alignment horizontal="right" vertical="center"/>
    </xf>
    <xf numFmtId="3" fontId="2" fillId="2" borderId="18" xfId="0" applyNumberFormat="1" applyFont="1" applyFill="1" applyBorder="1" applyAlignment="1">
      <alignment horizontal="right"/>
    </xf>
    <xf numFmtId="49" fontId="1" fillId="3" borderId="48" xfId="0" applyNumberFormat="1" applyFont="1" applyFill="1" applyBorder="1" applyAlignment="1">
      <alignment horizontal="right" vertical="center" wrapText="1"/>
    </xf>
    <xf numFmtId="3" fontId="2" fillId="2" borderId="23" xfId="0" applyNumberFormat="1" applyFont="1" applyFill="1" applyBorder="1" applyAlignment="1">
      <alignment horizontal="right"/>
    </xf>
    <xf numFmtId="164" fontId="1" fillId="2" borderId="20" xfId="0" applyNumberFormat="1" applyFont="1" applyFill="1" applyBorder="1" applyAlignment="1">
      <alignment horizontal="right" vertical="center"/>
    </xf>
    <xf numFmtId="164" fontId="16" fillId="2" borderId="20" xfId="0" applyNumberFormat="1" applyFont="1" applyFill="1" applyBorder="1" applyAlignment="1">
      <alignment horizontal="right" vertical="center"/>
    </xf>
    <xf numFmtId="0" fontId="14" fillId="2" borderId="20" xfId="0" applyFont="1" applyFill="1" applyBorder="1" applyAlignment="1">
      <alignment horizontal="right"/>
    </xf>
    <xf numFmtId="0" fontId="0" fillId="0" borderId="0" xfId="0" applyNumberFormat="1" applyFont="1" applyAlignment="1">
      <alignment horizontal="right"/>
    </xf>
    <xf numFmtId="0" fontId="8" fillId="3" borderId="19" xfId="0" applyFont="1" applyFill="1" applyBorder="1" applyAlignment="1">
      <alignment horizontal="right" vertical="center"/>
    </xf>
    <xf numFmtId="49" fontId="1" fillId="3" borderId="48" xfId="0" applyNumberFormat="1" applyFont="1" applyFill="1" applyBorder="1" applyAlignment="1">
      <alignment horizontal="center" vertical="center"/>
    </xf>
    <xf numFmtId="0" fontId="2" fillId="2" borderId="49" xfId="0" applyFont="1" applyFill="1" applyBorder="1" applyAlignment="1"/>
    <xf numFmtId="0" fontId="2" fillId="2" borderId="50" xfId="0" applyFont="1" applyFill="1" applyBorder="1" applyAlignment="1"/>
    <xf numFmtId="0" fontId="2" fillId="2" borderId="50" xfId="0" applyFont="1" applyFill="1" applyBorder="1" applyAlignment="1">
      <alignment horizontal="center"/>
    </xf>
    <xf numFmtId="3" fontId="2" fillId="2" borderId="50" xfId="0" applyNumberFormat="1" applyFont="1" applyFill="1" applyBorder="1" applyAlignment="1"/>
    <xf numFmtId="3" fontId="2" fillId="2" borderId="50" xfId="0" applyNumberFormat="1" applyFont="1" applyFill="1" applyBorder="1" applyAlignment="1">
      <alignment horizontal="right"/>
    </xf>
    <xf numFmtId="49" fontId="8" fillId="3" borderId="47" xfId="0" applyNumberFormat="1" applyFont="1" applyFill="1" applyBorder="1" applyAlignment="1">
      <alignment vertical="center"/>
    </xf>
    <xf numFmtId="0" fontId="8" fillId="3" borderId="47" xfId="0" applyFont="1" applyFill="1" applyBorder="1" applyAlignment="1">
      <alignment horizontal="center" vertical="center"/>
    </xf>
    <xf numFmtId="0" fontId="8" fillId="3" borderId="47" xfId="0" applyFont="1" applyFill="1" applyBorder="1" applyAlignment="1">
      <alignment vertical="center"/>
    </xf>
    <xf numFmtId="3" fontId="12" fillId="7" borderId="46" xfId="0" applyNumberFormat="1" applyFont="1" applyFill="1" applyBorder="1" applyAlignment="1">
      <alignment vertical="center"/>
    </xf>
    <xf numFmtId="3" fontId="4" fillId="2" borderId="6" xfId="0" applyNumberFormat="1" applyFont="1" applyFill="1" applyBorder="1" applyAlignment="1">
      <alignment horizontal="center" wrapText="1"/>
    </xf>
    <xf numFmtId="3" fontId="7" fillId="3" borderId="6" xfId="0" applyNumberFormat="1" applyFont="1" applyFill="1" applyBorder="1" applyAlignment="1">
      <alignment horizontal="center" vertical="center"/>
    </xf>
    <xf numFmtId="3" fontId="7" fillId="3" borderId="15" xfId="0" applyNumberFormat="1" applyFont="1" applyFill="1" applyBorder="1" applyAlignment="1">
      <alignment horizontal="center" vertical="center"/>
    </xf>
    <xf numFmtId="3" fontId="2" fillId="2" borderId="15" xfId="0" applyNumberFormat="1" applyFont="1" applyFill="1" applyBorder="1" applyAlignment="1">
      <alignment horizontal="center" vertical="center"/>
    </xf>
    <xf numFmtId="3" fontId="3" fillId="3" borderId="15" xfId="0" applyNumberFormat="1" applyFont="1" applyFill="1" applyBorder="1" applyAlignment="1">
      <alignment horizontal="center" vertical="center"/>
    </xf>
    <xf numFmtId="3" fontId="8" fillId="3" borderId="47" xfId="0" applyNumberFormat="1" applyFont="1" applyFill="1" applyBorder="1" applyAlignment="1">
      <alignment horizontal="center" vertical="center"/>
    </xf>
    <xf numFmtId="3" fontId="8" fillId="3" borderId="19" xfId="0" applyNumberFormat="1" applyFont="1" applyFill="1" applyBorder="1" applyAlignment="1">
      <alignment horizontal="center" vertical="center"/>
    </xf>
    <xf numFmtId="49" fontId="12" fillId="7" borderId="21" xfId="0" applyNumberFormat="1" applyFont="1" applyFill="1" applyBorder="1" applyAlignment="1">
      <alignment horizontal="center" vertical="center"/>
    </xf>
    <xf numFmtId="49" fontId="14" fillId="7" borderId="32" xfId="0" applyNumberFormat="1" applyFont="1" applyFill="1" applyBorder="1" applyAlignment="1">
      <alignment horizontal="center"/>
    </xf>
    <xf numFmtId="17" fontId="19" fillId="0" borderId="54" xfId="1" applyNumberFormat="1" applyFont="1" applyBorder="1" applyAlignment="1">
      <alignment horizontal="right" vertical="center"/>
    </xf>
    <xf numFmtId="49" fontId="20" fillId="2" borderId="47" xfId="0" applyNumberFormat="1" applyFont="1" applyFill="1" applyBorder="1" applyAlignment="1">
      <alignment horizontal="left" vertical="center" wrapText="1"/>
    </xf>
    <xf numFmtId="49" fontId="20" fillId="2" borderId="47" xfId="0" applyNumberFormat="1" applyFont="1" applyFill="1" applyBorder="1" applyAlignment="1">
      <alignment horizontal="left"/>
    </xf>
    <xf numFmtId="49" fontId="4" fillId="2" borderId="6" xfId="0" applyNumberFormat="1" applyFont="1" applyFill="1" applyBorder="1" applyAlignment="1">
      <alignment horizontal="right" vertical="center"/>
    </xf>
    <xf numFmtId="49" fontId="20" fillId="2" borderId="6" xfId="0" applyNumberFormat="1" applyFont="1" applyFill="1" applyBorder="1" applyAlignment="1">
      <alignment wrapText="1"/>
    </xf>
    <xf numFmtId="0" fontId="23" fillId="9" borderId="54" xfId="2" applyFont="1" applyFill="1" applyBorder="1" applyAlignment="1">
      <alignment horizontal="center" vertical="center"/>
    </xf>
    <xf numFmtId="3" fontId="23" fillId="9" borderId="54" xfId="2" applyNumberFormat="1" applyFont="1" applyFill="1" applyBorder="1" applyAlignment="1">
      <alignment horizontal="center" vertical="center"/>
    </xf>
    <xf numFmtId="3" fontId="23" fillId="0" borderId="54" xfId="2" applyNumberFormat="1" applyFont="1" applyBorder="1" applyAlignment="1">
      <alignment horizontal="center" vertical="center"/>
    </xf>
    <xf numFmtId="0" fontId="23" fillId="9" borderId="54" xfId="2" applyFont="1" applyFill="1" applyBorder="1" applyAlignment="1">
      <alignment horizontal="left" vertical="center" wrapText="1"/>
    </xf>
    <xf numFmtId="0" fontId="23" fillId="9" borderId="54" xfId="2" applyFont="1" applyFill="1" applyBorder="1" applyAlignment="1">
      <alignment vertical="center" wrapText="1"/>
    </xf>
    <xf numFmtId="0" fontId="23" fillId="9" borderId="55" xfId="2" applyFont="1" applyFill="1" applyBorder="1" applyAlignment="1">
      <alignment horizontal="center" vertical="center"/>
    </xf>
    <xf numFmtId="0" fontId="0" fillId="9" borderId="22" xfId="0" applyFont="1" applyFill="1" applyBorder="1" applyAlignment="1"/>
    <xf numFmtId="0" fontId="0" fillId="9" borderId="0" xfId="0" applyNumberFormat="1" applyFont="1" applyFill="1" applyAlignment="1"/>
    <xf numFmtId="0" fontId="0" fillId="9" borderId="0" xfId="0" applyFont="1" applyFill="1" applyAlignment="1"/>
    <xf numFmtId="49" fontId="20" fillId="9" borderId="47" xfId="0" applyNumberFormat="1" applyFont="1" applyFill="1" applyBorder="1" applyAlignment="1">
      <alignment horizontal="left" vertical="center" wrapText="1"/>
    </xf>
    <xf numFmtId="49" fontId="4" fillId="9" borderId="6" xfId="0" applyNumberFormat="1" applyFont="1" applyFill="1" applyBorder="1" applyAlignment="1">
      <alignment horizontal="right" vertical="center"/>
    </xf>
    <xf numFmtId="49" fontId="24" fillId="2" borderId="47" xfId="0" applyNumberFormat="1" applyFont="1" applyFill="1" applyBorder="1" applyAlignment="1">
      <alignment horizontal="left"/>
    </xf>
    <xf numFmtId="3" fontId="25" fillId="9" borderId="54" xfId="2" applyNumberFormat="1" applyFont="1" applyFill="1" applyBorder="1" applyAlignment="1">
      <alignment horizontal="center" vertical="center"/>
    </xf>
    <xf numFmtId="49" fontId="7" fillId="3" borderId="19" xfId="0" applyNumberFormat="1" applyFont="1" applyFill="1" applyBorder="1" applyAlignment="1">
      <alignment vertical="center"/>
    </xf>
    <xf numFmtId="49" fontId="4" fillId="10" borderId="47" xfId="0" applyNumberFormat="1" applyFont="1" applyFill="1" applyBorder="1" applyAlignment="1">
      <alignment horizontal="center" vertical="center" wrapText="1"/>
    </xf>
    <xf numFmtId="49" fontId="4" fillId="10" borderId="47" xfId="0" applyNumberFormat="1" applyFont="1" applyFill="1" applyBorder="1" applyAlignment="1">
      <alignment horizontal="center" vertical="center"/>
    </xf>
    <xf numFmtId="0" fontId="4" fillId="10" borderId="47" xfId="0" applyNumberFormat="1" applyFont="1" applyFill="1" applyBorder="1" applyAlignment="1">
      <alignment horizontal="center" vertical="center"/>
    </xf>
    <xf numFmtId="49" fontId="4" fillId="10" borderId="47" xfId="0" applyNumberFormat="1" applyFont="1" applyFill="1" applyBorder="1" applyAlignment="1">
      <alignment horizontal="center"/>
    </xf>
    <xf numFmtId="3" fontId="4" fillId="10" borderId="47" xfId="0" applyNumberFormat="1" applyFont="1" applyFill="1" applyBorder="1" applyAlignment="1">
      <alignment horizontal="center" vertical="center"/>
    </xf>
    <xf numFmtId="49" fontId="4" fillId="10" borderId="47" xfId="0" applyNumberFormat="1" applyFont="1" applyFill="1" applyBorder="1" applyAlignment="1">
      <alignment horizontal="left" vertical="center" wrapText="1"/>
    </xf>
    <xf numFmtId="0" fontId="4" fillId="10" borderId="47" xfId="0" applyNumberFormat="1" applyFont="1" applyFill="1" applyBorder="1" applyAlignment="1">
      <alignment horizontal="center"/>
    </xf>
    <xf numFmtId="3" fontId="4" fillId="10" borderId="47" xfId="0" applyNumberFormat="1" applyFont="1" applyFill="1" applyBorder="1" applyAlignment="1">
      <alignment horizontal="center"/>
    </xf>
    <xf numFmtId="49" fontId="4" fillId="10" borderId="47" xfId="0" applyNumberFormat="1" applyFont="1" applyFill="1" applyBorder="1" applyAlignment="1">
      <alignment horizontal="left" wrapText="1"/>
    </xf>
    <xf numFmtId="49" fontId="4" fillId="10" borderId="47" xfId="0" applyNumberFormat="1" applyFont="1" applyFill="1" applyBorder="1" applyAlignment="1">
      <alignment horizontal="left"/>
    </xf>
    <xf numFmtId="49" fontId="4" fillId="9" borderId="47" xfId="0" applyNumberFormat="1" applyFont="1" applyFill="1" applyBorder="1" applyAlignment="1">
      <alignment horizontal="center" vertical="center"/>
    </xf>
    <xf numFmtId="0" fontId="4" fillId="9" borderId="47" xfId="0" applyNumberFormat="1" applyFont="1" applyFill="1" applyBorder="1" applyAlignment="1">
      <alignment horizontal="center" vertical="center"/>
    </xf>
    <xf numFmtId="3" fontId="4" fillId="9" borderId="47" xfId="0" applyNumberFormat="1" applyFont="1" applyFill="1" applyBorder="1" applyAlignment="1">
      <alignment horizontal="center" vertical="center"/>
    </xf>
    <xf numFmtId="0" fontId="25" fillId="9" borderId="54" xfId="2" applyFont="1" applyFill="1" applyBorder="1" applyAlignment="1">
      <alignment horizontal="center" vertical="center"/>
    </xf>
    <xf numFmtId="49" fontId="23" fillId="2" borderId="47" xfId="0" applyNumberFormat="1" applyFont="1" applyFill="1" applyBorder="1" applyAlignment="1">
      <alignment horizontal="left"/>
    </xf>
    <xf numFmtId="49" fontId="23" fillId="2" borderId="47" xfId="0" applyNumberFormat="1" applyFont="1" applyFill="1" applyBorder="1" applyAlignment="1">
      <alignment horizontal="center"/>
    </xf>
    <xf numFmtId="0" fontId="23" fillId="2" borderId="47" xfId="0" applyNumberFormat="1" applyFont="1" applyFill="1" applyBorder="1" applyAlignment="1">
      <alignment horizontal="center"/>
    </xf>
    <xf numFmtId="3" fontId="23" fillId="2" borderId="47" xfId="0" applyNumberFormat="1" applyFont="1" applyFill="1" applyBorder="1" applyAlignment="1">
      <alignment horizontal="center"/>
    </xf>
    <xf numFmtId="0" fontId="23" fillId="10" borderId="54" xfId="2" applyFont="1" applyFill="1" applyBorder="1" applyAlignment="1">
      <alignment horizontal="center" vertical="center"/>
    </xf>
    <xf numFmtId="3" fontId="23" fillId="10" borderId="54" xfId="2" applyNumberFormat="1" applyFont="1" applyFill="1" applyBorder="1" applyAlignment="1">
      <alignment horizontal="center" vertical="center"/>
    </xf>
    <xf numFmtId="49" fontId="4" fillId="10" borderId="6" xfId="0" applyNumberFormat="1" applyFont="1" applyFill="1" applyBorder="1" applyAlignment="1">
      <alignment horizontal="center" vertical="center" wrapText="1"/>
    </xf>
    <xf numFmtId="0" fontId="4" fillId="10" borderId="6" xfId="0" applyNumberFormat="1" applyFont="1" applyFill="1" applyBorder="1" applyAlignment="1">
      <alignment horizontal="center" vertical="center" wrapText="1"/>
    </xf>
    <xf numFmtId="3" fontId="4" fillId="10" borderId="6" xfId="0" applyNumberFormat="1" applyFont="1" applyFill="1" applyBorder="1" applyAlignment="1">
      <alignment horizontal="center" vertical="center" wrapText="1"/>
    </xf>
    <xf numFmtId="49" fontId="23" fillId="10" borderId="6" xfId="0" applyNumberFormat="1" applyFont="1" applyFill="1" applyBorder="1" applyAlignment="1">
      <alignment horizontal="center" vertical="center" wrapText="1"/>
    </xf>
    <xf numFmtId="0" fontId="23" fillId="10" borderId="6" xfId="0" applyNumberFormat="1" applyFont="1" applyFill="1" applyBorder="1" applyAlignment="1">
      <alignment horizontal="center" vertical="center" wrapText="1"/>
    </xf>
    <xf numFmtId="3" fontId="23" fillId="10" borderId="6" xfId="0" applyNumberFormat="1" applyFont="1" applyFill="1" applyBorder="1" applyAlignment="1">
      <alignment horizontal="center" vertical="center" wrapText="1"/>
    </xf>
    <xf numFmtId="49" fontId="22" fillId="10" borderId="6" xfId="0" applyNumberFormat="1" applyFont="1" applyFill="1" applyBorder="1" applyAlignment="1">
      <alignment wrapText="1"/>
    </xf>
    <xf numFmtId="49" fontId="23" fillId="10" borderId="6" xfId="0" applyNumberFormat="1" applyFont="1" applyFill="1" applyBorder="1" applyAlignment="1">
      <alignment horizontal="center" wrapText="1"/>
    </xf>
    <xf numFmtId="0" fontId="23" fillId="10" borderId="6" xfId="0" applyNumberFormat="1" applyFont="1" applyFill="1" applyBorder="1" applyAlignment="1">
      <alignment horizontal="center" wrapText="1"/>
    </xf>
    <xf numFmtId="3" fontId="23" fillId="10" borderId="6" xfId="0" applyNumberFormat="1" applyFont="1" applyFill="1" applyBorder="1" applyAlignment="1">
      <alignment horizontal="center" wrapText="1"/>
    </xf>
    <xf numFmtId="49" fontId="23" fillId="10" borderId="6" xfId="0" applyNumberFormat="1" applyFont="1" applyFill="1" applyBorder="1" applyAlignment="1">
      <alignment wrapText="1"/>
    </xf>
    <xf numFmtId="1" fontId="23" fillId="10" borderId="6" xfId="0" applyNumberFormat="1" applyFont="1" applyFill="1" applyBorder="1" applyAlignment="1">
      <alignment horizontal="center" wrapText="1"/>
    </xf>
    <xf numFmtId="1" fontId="4" fillId="10" borderId="47" xfId="0" applyNumberFormat="1" applyFont="1" applyFill="1" applyBorder="1" applyAlignment="1">
      <alignment horizontal="center"/>
    </xf>
    <xf numFmtId="49" fontId="4" fillId="10" borderId="6" xfId="0" applyNumberFormat="1" applyFont="1" applyFill="1" applyBorder="1" applyAlignment="1">
      <alignment vertical="center" wrapText="1"/>
    </xf>
    <xf numFmtId="49" fontId="23" fillId="10" borderId="47" xfId="0" applyNumberFormat="1" applyFont="1" applyFill="1" applyBorder="1" applyAlignment="1">
      <alignment horizontal="left"/>
    </xf>
    <xf numFmtId="49" fontId="23" fillId="10" borderId="47" xfId="0" applyNumberFormat="1" applyFont="1" applyFill="1" applyBorder="1" applyAlignment="1">
      <alignment horizontal="center"/>
    </xf>
    <xf numFmtId="0" fontId="23" fillId="10" borderId="47" xfId="0" applyNumberFormat="1" applyFont="1" applyFill="1" applyBorder="1" applyAlignment="1">
      <alignment horizontal="center"/>
    </xf>
    <xf numFmtId="3" fontId="23" fillId="10" borderId="47" xfId="0" applyNumberFormat="1" applyFont="1" applyFill="1" applyBorder="1" applyAlignment="1">
      <alignment horizontal="center"/>
    </xf>
    <xf numFmtId="49" fontId="22" fillId="10" borderId="47" xfId="0" applyNumberFormat="1" applyFont="1" applyFill="1" applyBorder="1" applyAlignment="1">
      <alignment horizontal="left"/>
    </xf>
    <xf numFmtId="164" fontId="12" fillId="7" borderId="35" xfId="0" applyNumberFormat="1" applyFont="1" applyFill="1" applyBorder="1" applyAlignment="1">
      <alignment vertical="center"/>
    </xf>
    <xf numFmtId="0" fontId="23" fillId="9" borderId="55" xfId="2" applyFont="1" applyFill="1" applyBorder="1" applyAlignment="1">
      <alignment horizontal="center" vertical="center" wrapText="1"/>
    </xf>
    <xf numFmtId="49" fontId="23" fillId="10" borderId="6" xfId="0" applyNumberFormat="1" applyFont="1" applyFill="1" applyBorder="1" applyAlignment="1">
      <alignment horizontal="center"/>
    </xf>
    <xf numFmtId="0" fontId="0" fillId="0" borderId="0" xfId="0" applyNumberFormat="1" applyFont="1" applyAlignment="1">
      <alignment horizontal="left"/>
    </xf>
    <xf numFmtId="3" fontId="23" fillId="10" borderId="56" xfId="0" applyNumberFormat="1" applyFont="1" applyFill="1" applyBorder="1" applyAlignment="1">
      <alignment horizontal="center" wrapText="1"/>
    </xf>
    <xf numFmtId="3" fontId="0" fillId="0" borderId="0" xfId="0" applyNumberFormat="1" applyFont="1" applyAlignment="1">
      <alignment horizontal="left"/>
    </xf>
    <xf numFmtId="0" fontId="0" fillId="9" borderId="0" xfId="0" applyNumberFormat="1" applyFont="1" applyFill="1" applyAlignment="1">
      <alignment horizontal="left"/>
    </xf>
    <xf numFmtId="0" fontId="14" fillId="8" borderId="59" xfId="0" applyFont="1" applyFill="1" applyBorder="1" applyAlignment="1"/>
    <xf numFmtId="9" fontId="14" fillId="2" borderId="60" xfId="0" applyNumberFormat="1" applyFont="1" applyFill="1" applyBorder="1" applyAlignment="1"/>
    <xf numFmtId="0" fontId="0" fillId="0" borderId="20" xfId="0" applyNumberFormat="1" applyFont="1" applyBorder="1" applyAlignment="1">
      <alignment horizontal="left"/>
    </xf>
    <xf numFmtId="49" fontId="4" fillId="9" borderId="47" xfId="0" applyNumberFormat="1" applyFont="1" applyFill="1" applyBorder="1" applyAlignment="1">
      <alignment horizontal="left"/>
    </xf>
    <xf numFmtId="49" fontId="4" fillId="9" borderId="47" xfId="0" applyNumberFormat="1" applyFont="1" applyFill="1" applyBorder="1" applyAlignment="1">
      <alignment horizontal="center"/>
    </xf>
    <xf numFmtId="0" fontId="4" fillId="9" borderId="47" xfId="0" applyNumberFormat="1" applyFont="1" applyFill="1" applyBorder="1" applyAlignment="1">
      <alignment horizontal="center"/>
    </xf>
    <xf numFmtId="3" fontId="4" fillId="9" borderId="47" xfId="0" applyNumberFormat="1" applyFont="1" applyFill="1" applyBorder="1" applyAlignment="1">
      <alignment horizontal="center"/>
    </xf>
    <xf numFmtId="0" fontId="21" fillId="9" borderId="0" xfId="7" applyNumberFormat="1" applyFont="1" applyFill="1" applyAlignment="1">
      <alignment horizontal="left"/>
    </xf>
    <xf numFmtId="42" fontId="0" fillId="9" borderId="0" xfId="0" applyNumberFormat="1" applyFont="1" applyFill="1" applyAlignment="1"/>
    <xf numFmtId="0" fontId="21" fillId="9" borderId="0" xfId="0" applyNumberFormat="1" applyFont="1" applyFill="1" applyAlignment="1">
      <alignment horizontal="left"/>
    </xf>
    <xf numFmtId="49" fontId="2" fillId="2" borderId="6" xfId="0" applyNumberFormat="1" applyFont="1" applyFill="1" applyBorder="1" applyAlignment="1">
      <alignment horizontal="right" vertical="center" wrapText="1"/>
    </xf>
    <xf numFmtId="0" fontId="27" fillId="9" borderId="20" xfId="0" applyFont="1" applyFill="1" applyBorder="1" applyAlignment="1">
      <alignment vertical="center"/>
    </xf>
    <xf numFmtId="49" fontId="27" fillId="9" borderId="20" xfId="0" applyNumberFormat="1" applyFont="1" applyFill="1" applyBorder="1" applyAlignment="1">
      <alignment horizontal="right"/>
    </xf>
    <xf numFmtId="3" fontId="27" fillId="9" borderId="20" xfId="0" applyNumberFormat="1" applyFont="1" applyFill="1" applyBorder="1" applyAlignment="1"/>
    <xf numFmtId="9" fontId="27" fillId="9" borderId="20" xfId="6" applyFont="1" applyFill="1" applyBorder="1" applyAlignment="1">
      <alignment horizontal="left" vertical="center"/>
    </xf>
    <xf numFmtId="3" fontId="27" fillId="9" borderId="20" xfId="0" applyNumberFormat="1" applyFont="1" applyFill="1" applyBorder="1" applyAlignment="1">
      <alignment vertical="center"/>
    </xf>
    <xf numFmtId="49" fontId="27" fillId="9" borderId="20" xfId="0" applyNumberFormat="1" applyFont="1" applyFill="1" applyBorder="1" applyAlignment="1">
      <alignment horizontal="right" vertical="center"/>
    </xf>
    <xf numFmtId="42" fontId="11" fillId="9" borderId="20" xfId="5" applyFont="1" applyFill="1" applyBorder="1" applyAlignment="1"/>
    <xf numFmtId="3" fontId="4" fillId="10" borderId="56" xfId="0" applyNumberFormat="1" applyFont="1" applyFill="1" applyBorder="1" applyAlignment="1">
      <alignment horizontal="right"/>
    </xf>
    <xf numFmtId="49" fontId="4" fillId="9" borderId="56" xfId="0" applyNumberFormat="1" applyFont="1" applyFill="1" applyBorder="1" applyAlignment="1">
      <alignment horizontal="right"/>
    </xf>
    <xf numFmtId="166" fontId="4" fillId="10" borderId="56" xfId="0" applyNumberFormat="1" applyFont="1" applyFill="1" applyBorder="1" applyAlignment="1">
      <alignment horizontal="right"/>
    </xf>
    <xf numFmtId="166" fontId="4" fillId="10" borderId="56" xfId="0" applyNumberFormat="1" applyFont="1" applyFill="1" applyBorder="1" applyAlignment="1">
      <alignment horizontal="right" wrapText="1"/>
    </xf>
    <xf numFmtId="49" fontId="4" fillId="9" borderId="56" xfId="0" applyNumberFormat="1" applyFont="1" applyFill="1" applyBorder="1" applyAlignment="1">
      <alignment horizontal="right" wrapText="1"/>
    </xf>
    <xf numFmtId="0" fontId="2" fillId="2" borderId="61" xfId="0" applyFont="1" applyFill="1" applyBorder="1" applyAlignment="1">
      <alignment horizontal="right" wrapText="1"/>
    </xf>
    <xf numFmtId="0" fontId="2" fillId="2" borderId="62" xfId="0" applyFont="1" applyFill="1" applyBorder="1" applyAlignment="1">
      <alignment horizontal="right"/>
    </xf>
    <xf numFmtId="0" fontId="2" fillId="2" borderId="63" xfId="0" applyFont="1" applyFill="1" applyBorder="1" applyAlignment="1">
      <alignment horizontal="right" vertical="center"/>
    </xf>
    <xf numFmtId="49" fontId="1" fillId="3" borderId="56" xfId="0" applyNumberFormat="1" applyFont="1" applyFill="1" applyBorder="1" applyAlignment="1">
      <alignment horizontal="center" vertical="center" wrapText="1"/>
    </xf>
    <xf numFmtId="3" fontId="4" fillId="2" borderId="56" xfId="0" applyNumberFormat="1" applyFont="1" applyFill="1" applyBorder="1" applyAlignment="1">
      <alignment horizontal="center" wrapText="1"/>
    </xf>
    <xf numFmtId="3" fontId="23" fillId="10" borderId="56" xfId="0" applyNumberFormat="1" applyFont="1" applyFill="1" applyBorder="1" applyAlignment="1">
      <alignment horizontal="center" vertical="center" wrapText="1"/>
    </xf>
    <xf numFmtId="49" fontId="22" fillId="10" borderId="20" xfId="0" applyNumberFormat="1" applyFont="1" applyFill="1" applyBorder="1" applyAlignment="1">
      <alignment horizontal="left" wrapText="1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6" fillId="4" borderId="56" xfId="0" applyFont="1" applyFill="1" applyBorder="1" applyAlignment="1">
      <alignment horizontal="center" vertical="center"/>
    </xf>
    <xf numFmtId="49" fontId="17" fillId="8" borderId="51" xfId="0" applyNumberFormat="1" applyFont="1" applyFill="1" applyBorder="1" applyAlignment="1">
      <alignment horizontal="center" vertical="center"/>
    </xf>
    <xf numFmtId="49" fontId="17" fillId="8" borderId="52" xfId="0" applyNumberFormat="1" applyFont="1" applyFill="1" applyBorder="1" applyAlignment="1">
      <alignment horizontal="center" vertical="center"/>
    </xf>
    <xf numFmtId="49" fontId="17" fillId="8" borderId="53" xfId="0" applyNumberFormat="1" applyFont="1" applyFill="1" applyBorder="1" applyAlignment="1">
      <alignment horizontal="center" vertical="center"/>
    </xf>
    <xf numFmtId="49" fontId="17" fillId="8" borderId="57" xfId="0" applyNumberFormat="1" applyFont="1" applyFill="1" applyBorder="1" applyAlignment="1">
      <alignment vertical="center"/>
    </xf>
    <xf numFmtId="0" fontId="12" fillId="8" borderId="58" xfId="0" applyFont="1" applyFill="1" applyBorder="1" applyAlignment="1">
      <alignment vertical="center"/>
    </xf>
    <xf numFmtId="0" fontId="14" fillId="9" borderId="20" xfId="0" applyFont="1" applyFill="1" applyBorder="1" applyAlignment="1">
      <alignment horizontal="center"/>
    </xf>
  </cellXfs>
  <cellStyles count="8">
    <cellStyle name="Millares [0]" xfId="7" builtinId="6"/>
    <cellStyle name="Millares [0] 2" xfId="3"/>
    <cellStyle name="Moneda [0]" xfId="5" builtinId="7"/>
    <cellStyle name="Normal" xfId="0" builtinId="0"/>
    <cellStyle name="Normal 2" xfId="1"/>
    <cellStyle name="Normal 3" xfId="2"/>
    <cellStyle name="Porcentaje" xfId="6" builtinId="5"/>
    <cellStyle name="Porcentaje 2" xfId="4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35719</xdr:colOff>
      <xdr:row>0</xdr:row>
      <xdr:rowOff>30955</xdr:rowOff>
    </xdr:from>
    <xdr:to>
      <xdr:col>6</xdr:col>
      <xdr:colOff>1137046</xdr:colOff>
      <xdr:row>7</xdr:row>
      <xdr:rowOff>17858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1563" y="30955"/>
          <a:ext cx="6524624" cy="132040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Z150"/>
  <sheetViews>
    <sheetView showGridLines="0" tabSelected="1" zoomScaleNormal="100" zoomScaleSheetLayoutView="100" workbookViewId="0">
      <selection activeCell="H10" sqref="H10"/>
    </sheetView>
  </sheetViews>
  <sheetFormatPr baseColWidth="10" defaultColWidth="10.88671875" defaultRowHeight="11.25" customHeight="1" x14ac:dyDescent="0.3"/>
  <cols>
    <col min="1" max="1" width="15.5546875" style="1" customWidth="1"/>
    <col min="2" max="2" width="21.33203125" style="1" customWidth="1"/>
    <col min="3" max="3" width="17" style="1" customWidth="1"/>
    <col min="4" max="4" width="14.88671875" style="1" customWidth="1"/>
    <col min="5" max="5" width="9.5546875" style="1" customWidth="1"/>
    <col min="6" max="6" width="18.6640625" style="1" customWidth="1"/>
    <col min="7" max="7" width="17.109375" style="108" customWidth="1"/>
    <col min="8" max="8" width="31.88671875" style="190" customWidth="1"/>
    <col min="9" max="9" width="10.88671875" style="190" customWidth="1"/>
    <col min="10" max="234" width="10.88671875" style="1" customWidth="1"/>
  </cols>
  <sheetData>
    <row r="1" spans="1:9" ht="15" customHeight="1" x14ac:dyDescent="0.3">
      <c r="A1" s="2"/>
      <c r="B1" s="2"/>
      <c r="C1" s="2"/>
      <c r="D1" s="2"/>
      <c r="E1" s="2"/>
      <c r="F1" s="2"/>
      <c r="G1" s="98"/>
    </row>
    <row r="2" spans="1:9" ht="15" customHeight="1" x14ac:dyDescent="0.3">
      <c r="A2" s="2"/>
      <c r="B2" s="2"/>
      <c r="C2" s="2"/>
      <c r="D2" s="2"/>
      <c r="E2" s="2"/>
      <c r="F2" s="2"/>
      <c r="G2" s="98"/>
    </row>
    <row r="3" spans="1:9" ht="15" customHeight="1" x14ac:dyDescent="0.3">
      <c r="A3" s="2"/>
      <c r="B3" s="2"/>
      <c r="C3" s="2"/>
      <c r="D3" s="2"/>
      <c r="E3" s="2"/>
      <c r="F3" s="2"/>
      <c r="G3" s="98"/>
    </row>
    <row r="4" spans="1:9" ht="15" customHeight="1" x14ac:dyDescent="0.3">
      <c r="A4" s="2"/>
      <c r="B4" s="2"/>
      <c r="C4" s="2"/>
      <c r="D4" s="2"/>
      <c r="E4" s="2"/>
      <c r="F4" s="2"/>
      <c r="G4" s="98"/>
    </row>
    <row r="5" spans="1:9" ht="15" customHeight="1" x14ac:dyDescent="0.3">
      <c r="A5" s="2"/>
      <c r="B5" s="2"/>
      <c r="C5" s="2"/>
      <c r="D5" s="2"/>
      <c r="E5" s="2"/>
      <c r="F5" s="2"/>
      <c r="G5" s="98"/>
    </row>
    <row r="6" spans="1:9" ht="15" customHeight="1" x14ac:dyDescent="0.3">
      <c r="A6" s="2"/>
      <c r="B6" s="2"/>
      <c r="C6" s="2"/>
      <c r="D6" s="2"/>
      <c r="E6" s="2"/>
      <c r="F6" s="2"/>
      <c r="G6" s="98"/>
    </row>
    <row r="7" spans="1:9" ht="15" customHeight="1" x14ac:dyDescent="0.3">
      <c r="A7" s="2"/>
      <c r="B7" s="2"/>
      <c r="C7" s="2"/>
      <c r="D7" s="2"/>
      <c r="E7" s="2"/>
      <c r="F7" s="2"/>
      <c r="G7" s="98"/>
    </row>
    <row r="8" spans="1:9" ht="15" customHeight="1" x14ac:dyDescent="0.3">
      <c r="A8" s="2"/>
      <c r="B8" s="3"/>
      <c r="C8" s="4"/>
      <c r="D8" s="2"/>
      <c r="E8" s="4"/>
      <c r="F8" s="4"/>
      <c r="G8" s="99"/>
    </row>
    <row r="9" spans="1:9" ht="24.75" customHeight="1" x14ac:dyDescent="0.3">
      <c r="A9" s="5"/>
      <c r="B9" s="6" t="s">
        <v>0</v>
      </c>
      <c r="C9" s="204" t="s">
        <v>63</v>
      </c>
      <c r="D9" s="7"/>
      <c r="E9" s="224" t="s">
        <v>65</v>
      </c>
      <c r="F9" s="225"/>
      <c r="G9" s="212">
        <v>125000</v>
      </c>
      <c r="H9" s="196"/>
      <c r="I9" s="196"/>
    </row>
    <row r="10" spans="1:9" ht="18" customHeight="1" x14ac:dyDescent="0.3">
      <c r="A10" s="5"/>
      <c r="B10" s="8" t="s">
        <v>1</v>
      </c>
      <c r="C10" s="144" t="s">
        <v>145</v>
      </c>
      <c r="D10" s="9"/>
      <c r="E10" s="226" t="s">
        <v>2</v>
      </c>
      <c r="F10" s="227"/>
      <c r="G10" s="213" t="s">
        <v>126</v>
      </c>
      <c r="H10" s="196"/>
      <c r="I10" s="196"/>
    </row>
    <row r="11" spans="1:9" ht="18" customHeight="1" x14ac:dyDescent="0.3">
      <c r="A11" s="5"/>
      <c r="B11" s="8" t="s">
        <v>3</v>
      </c>
      <c r="C11" s="144" t="s">
        <v>146</v>
      </c>
      <c r="D11" s="9"/>
      <c r="E11" s="226" t="s">
        <v>159</v>
      </c>
      <c r="F11" s="227"/>
      <c r="G11" s="214">
        <v>500</v>
      </c>
      <c r="H11" s="196"/>
      <c r="I11" s="196"/>
    </row>
    <row r="12" spans="1:9" ht="11.25" customHeight="1" x14ac:dyDescent="0.3">
      <c r="A12" s="5"/>
      <c r="B12" s="8" t="s">
        <v>4</v>
      </c>
      <c r="C12" s="132" t="s">
        <v>64</v>
      </c>
      <c r="D12" s="9"/>
      <c r="E12" s="10" t="s">
        <v>5</v>
      </c>
      <c r="F12" s="11"/>
      <c r="G12" s="215">
        <f>G11*G9</f>
        <v>62500000</v>
      </c>
      <c r="H12" s="196"/>
      <c r="I12" s="196"/>
    </row>
    <row r="13" spans="1:9" ht="11.25" customHeight="1" x14ac:dyDescent="0.3">
      <c r="A13" s="5"/>
      <c r="B13" s="8" t="s">
        <v>6</v>
      </c>
      <c r="C13" s="132" t="s">
        <v>186</v>
      </c>
      <c r="D13" s="9"/>
      <c r="E13" s="226" t="s">
        <v>7</v>
      </c>
      <c r="F13" s="227"/>
      <c r="G13" s="213" t="s">
        <v>127</v>
      </c>
      <c r="H13" s="196"/>
      <c r="I13" s="196"/>
    </row>
    <row r="14" spans="1:9" ht="13.5" customHeight="1" x14ac:dyDescent="0.3">
      <c r="A14" s="5"/>
      <c r="B14" s="8" t="s">
        <v>8</v>
      </c>
      <c r="C14" s="132" t="s">
        <v>62</v>
      </c>
      <c r="D14" s="9"/>
      <c r="E14" s="226" t="s">
        <v>9</v>
      </c>
      <c r="F14" s="227"/>
      <c r="G14" s="213" t="s">
        <v>126</v>
      </c>
      <c r="H14" s="196"/>
      <c r="I14" s="196"/>
    </row>
    <row r="15" spans="1:9" ht="16.5" customHeight="1" x14ac:dyDescent="0.3">
      <c r="A15" s="5"/>
      <c r="B15" s="8" t="s">
        <v>10</v>
      </c>
      <c r="C15" s="129">
        <v>44713</v>
      </c>
      <c r="D15" s="9"/>
      <c r="E15" s="228" t="s">
        <v>11</v>
      </c>
      <c r="F15" s="229"/>
      <c r="G15" s="216" t="s">
        <v>128</v>
      </c>
      <c r="H15" s="196"/>
      <c r="I15" s="196"/>
    </row>
    <row r="16" spans="1:9" ht="12" customHeight="1" x14ac:dyDescent="0.3">
      <c r="A16" s="2"/>
      <c r="B16" s="12"/>
      <c r="C16" s="13"/>
      <c r="D16" s="14"/>
      <c r="E16" s="15"/>
      <c r="F16" s="15"/>
      <c r="G16" s="217"/>
      <c r="H16" s="196"/>
      <c r="I16" s="196"/>
    </row>
    <row r="17" spans="1:9" ht="12" customHeight="1" x14ac:dyDescent="0.3">
      <c r="A17" s="16"/>
      <c r="B17" s="230" t="s">
        <v>12</v>
      </c>
      <c r="C17" s="231"/>
      <c r="D17" s="231"/>
      <c r="E17" s="231"/>
      <c r="F17" s="231"/>
      <c r="G17" s="232"/>
      <c r="H17" s="196"/>
      <c r="I17" s="196"/>
    </row>
    <row r="18" spans="1:9" ht="12" customHeight="1" x14ac:dyDescent="0.3">
      <c r="A18" s="2"/>
      <c r="B18" s="17"/>
      <c r="C18" s="18"/>
      <c r="D18" s="18"/>
      <c r="E18" s="18"/>
      <c r="F18" s="19"/>
      <c r="G18" s="218"/>
      <c r="H18" s="196"/>
      <c r="I18" s="196"/>
    </row>
    <row r="19" spans="1:9" ht="12" customHeight="1" x14ac:dyDescent="0.3">
      <c r="A19" s="5"/>
      <c r="B19" s="20" t="s">
        <v>13</v>
      </c>
      <c r="C19" s="21"/>
      <c r="D19" s="22"/>
      <c r="E19" s="22"/>
      <c r="F19" s="22"/>
      <c r="G19" s="219"/>
      <c r="H19" s="196"/>
      <c r="I19" s="196"/>
    </row>
    <row r="20" spans="1:9" ht="24" customHeight="1" x14ac:dyDescent="0.3">
      <c r="A20" s="16"/>
      <c r="B20" s="23" t="s">
        <v>14</v>
      </c>
      <c r="C20" s="23" t="s">
        <v>15</v>
      </c>
      <c r="D20" s="23" t="s">
        <v>16</v>
      </c>
      <c r="E20" s="23" t="s">
        <v>17</v>
      </c>
      <c r="F20" s="23" t="s">
        <v>18</v>
      </c>
      <c r="G20" s="220" t="s">
        <v>19</v>
      </c>
      <c r="H20" s="196"/>
      <c r="I20" s="196"/>
    </row>
    <row r="21" spans="1:9" ht="27" customHeight="1" x14ac:dyDescent="0.3">
      <c r="A21" s="16"/>
      <c r="B21" s="133" t="s">
        <v>175</v>
      </c>
      <c r="C21" s="24"/>
      <c r="D21" s="91"/>
      <c r="E21" s="24"/>
      <c r="F21" s="120"/>
      <c r="G21" s="221"/>
      <c r="H21" s="196"/>
      <c r="I21" s="196"/>
    </row>
    <row r="22" spans="1:9" ht="25.5" customHeight="1" x14ac:dyDescent="0.3">
      <c r="A22" s="16"/>
      <c r="B22" s="171" t="s">
        <v>174</v>
      </c>
      <c r="C22" s="171" t="s">
        <v>20</v>
      </c>
      <c r="D22" s="172">
        <v>18</v>
      </c>
      <c r="E22" s="171" t="s">
        <v>66</v>
      </c>
      <c r="F22" s="173">
        <v>75000</v>
      </c>
      <c r="G22" s="222">
        <f>D22*F22/3</f>
        <v>450000</v>
      </c>
      <c r="H22" s="196"/>
      <c r="I22" s="196"/>
    </row>
    <row r="23" spans="1:9" ht="12.75" customHeight="1" x14ac:dyDescent="0.3">
      <c r="A23" s="16"/>
      <c r="B23" s="174" t="s">
        <v>181</v>
      </c>
      <c r="C23" s="175"/>
      <c r="D23" s="176"/>
      <c r="E23" s="175"/>
      <c r="F23" s="177"/>
      <c r="G23" s="191"/>
      <c r="H23" s="196"/>
      <c r="I23" s="196"/>
    </row>
    <row r="24" spans="1:9" ht="12.75" customHeight="1" x14ac:dyDescent="0.3">
      <c r="A24" s="16"/>
      <c r="B24" s="178" t="s">
        <v>68</v>
      </c>
      <c r="C24" s="175" t="s">
        <v>20</v>
      </c>
      <c r="D24" s="176">
        <v>12</v>
      </c>
      <c r="E24" s="175" t="s">
        <v>69</v>
      </c>
      <c r="F24" s="177">
        <v>27000</v>
      </c>
      <c r="G24" s="191">
        <f t="shared" ref="G24:G29" si="0">D24*F24</f>
        <v>324000</v>
      </c>
      <c r="H24" s="223"/>
      <c r="I24" s="196"/>
    </row>
    <row r="25" spans="1:9" ht="12.75" customHeight="1" x14ac:dyDescent="0.3">
      <c r="A25" s="16"/>
      <c r="B25" s="178" t="s">
        <v>70</v>
      </c>
      <c r="C25" s="189" t="s">
        <v>20</v>
      </c>
      <c r="D25" s="176">
        <v>3</v>
      </c>
      <c r="E25" s="175" t="s">
        <v>69</v>
      </c>
      <c r="F25" s="177">
        <v>27000</v>
      </c>
      <c r="G25" s="191">
        <f t="shared" si="0"/>
        <v>81000</v>
      </c>
      <c r="H25" s="223"/>
      <c r="I25" s="196"/>
    </row>
    <row r="26" spans="1:9" ht="12.75" customHeight="1" x14ac:dyDescent="0.3">
      <c r="A26" s="16"/>
      <c r="B26" s="178" t="s">
        <v>71</v>
      </c>
      <c r="C26" s="175" t="s">
        <v>20</v>
      </c>
      <c r="D26" s="176">
        <v>0.5</v>
      </c>
      <c r="E26" s="175" t="s">
        <v>69</v>
      </c>
      <c r="F26" s="177">
        <v>27000</v>
      </c>
      <c r="G26" s="191">
        <f t="shared" si="0"/>
        <v>13500</v>
      </c>
      <c r="H26" s="223"/>
      <c r="I26" s="196"/>
    </row>
    <row r="27" spans="1:9" ht="12.75" customHeight="1" x14ac:dyDescent="0.3">
      <c r="A27" s="16"/>
      <c r="B27" s="178" t="s">
        <v>72</v>
      </c>
      <c r="C27" s="175" t="s">
        <v>20</v>
      </c>
      <c r="D27" s="176">
        <v>11</v>
      </c>
      <c r="E27" s="175" t="s">
        <v>73</v>
      </c>
      <c r="F27" s="177">
        <v>27000</v>
      </c>
      <c r="G27" s="191">
        <f t="shared" si="0"/>
        <v>297000</v>
      </c>
      <c r="H27" s="196"/>
      <c r="I27" s="196"/>
    </row>
    <row r="28" spans="1:9" ht="12.75" customHeight="1" x14ac:dyDescent="0.3">
      <c r="A28" s="16"/>
      <c r="B28" s="178" t="s">
        <v>74</v>
      </c>
      <c r="C28" s="175" t="s">
        <v>20</v>
      </c>
      <c r="D28" s="176">
        <v>3</v>
      </c>
      <c r="E28" s="175" t="s">
        <v>75</v>
      </c>
      <c r="F28" s="177">
        <v>27000</v>
      </c>
      <c r="G28" s="191">
        <f t="shared" si="0"/>
        <v>81000</v>
      </c>
      <c r="H28" s="196"/>
      <c r="I28" s="196"/>
    </row>
    <row r="29" spans="1:9" ht="12.75" customHeight="1" x14ac:dyDescent="0.3">
      <c r="A29" s="16"/>
      <c r="B29" s="178" t="s">
        <v>76</v>
      </c>
      <c r="C29" s="175" t="s">
        <v>20</v>
      </c>
      <c r="D29" s="176">
        <v>10</v>
      </c>
      <c r="E29" s="175" t="s">
        <v>77</v>
      </c>
      <c r="F29" s="177">
        <v>27000</v>
      </c>
      <c r="G29" s="191">
        <f t="shared" si="0"/>
        <v>270000</v>
      </c>
      <c r="H29" s="196"/>
      <c r="I29" s="196"/>
    </row>
    <row r="30" spans="1:9" ht="12.75" customHeight="1" x14ac:dyDescent="0.3">
      <c r="A30" s="16"/>
      <c r="B30" s="178" t="s">
        <v>78</v>
      </c>
      <c r="C30" s="175" t="s">
        <v>20</v>
      </c>
      <c r="D30" s="176">
        <v>12</v>
      </c>
      <c r="E30" s="175" t="s">
        <v>79</v>
      </c>
      <c r="F30" s="177">
        <v>27000</v>
      </c>
      <c r="G30" s="191">
        <f t="shared" ref="G30:G42" si="1">D30*F30</f>
        <v>324000</v>
      </c>
      <c r="H30" s="196"/>
      <c r="I30" s="196"/>
    </row>
    <row r="31" spans="1:9" ht="12.75" customHeight="1" x14ac:dyDescent="0.3">
      <c r="A31" s="16"/>
      <c r="B31" s="178" t="s">
        <v>80</v>
      </c>
      <c r="C31" s="175" t="s">
        <v>20</v>
      </c>
      <c r="D31" s="179">
        <v>320</v>
      </c>
      <c r="E31" s="175" t="s">
        <v>79</v>
      </c>
      <c r="F31" s="177">
        <v>27000</v>
      </c>
      <c r="G31" s="191">
        <f t="shared" si="1"/>
        <v>8640000</v>
      </c>
      <c r="H31" s="196"/>
      <c r="I31" s="196"/>
    </row>
    <row r="32" spans="1:9" ht="12.75" customHeight="1" x14ac:dyDescent="0.3">
      <c r="A32" s="16"/>
      <c r="B32" s="178" t="s">
        <v>81</v>
      </c>
      <c r="C32" s="175" t="s">
        <v>20</v>
      </c>
      <c r="D32" s="176">
        <v>25</v>
      </c>
      <c r="E32" s="175" t="s">
        <v>82</v>
      </c>
      <c r="F32" s="177">
        <v>27000</v>
      </c>
      <c r="G32" s="191">
        <f t="shared" si="1"/>
        <v>675000</v>
      </c>
      <c r="H32" s="196"/>
      <c r="I32" s="196"/>
    </row>
    <row r="33" spans="1:9" ht="12.75" customHeight="1" x14ac:dyDescent="0.3">
      <c r="A33" s="16"/>
      <c r="B33" s="178" t="s">
        <v>83</v>
      </c>
      <c r="C33" s="175" t="s">
        <v>20</v>
      </c>
      <c r="D33" s="176">
        <v>66.75</v>
      </c>
      <c r="E33" s="175" t="s">
        <v>84</v>
      </c>
      <c r="F33" s="177">
        <v>27000</v>
      </c>
      <c r="G33" s="191">
        <f t="shared" si="1"/>
        <v>1802250</v>
      </c>
      <c r="H33" s="196"/>
      <c r="I33" s="196"/>
    </row>
    <row r="34" spans="1:9" ht="12.75" customHeight="1" x14ac:dyDescent="0.3">
      <c r="A34" s="16"/>
      <c r="B34" s="178" t="s">
        <v>85</v>
      </c>
      <c r="C34" s="175" t="s">
        <v>20</v>
      </c>
      <c r="D34" s="179">
        <v>8.75</v>
      </c>
      <c r="E34" s="175" t="s">
        <v>84</v>
      </c>
      <c r="F34" s="177">
        <v>27000</v>
      </c>
      <c r="G34" s="177">
        <f t="shared" si="1"/>
        <v>236250</v>
      </c>
    </row>
    <row r="35" spans="1:9" ht="12.75" customHeight="1" x14ac:dyDescent="0.3">
      <c r="A35" s="16"/>
      <c r="B35" s="178" t="s">
        <v>86</v>
      </c>
      <c r="C35" s="175" t="s">
        <v>20</v>
      </c>
      <c r="D35" s="176">
        <v>4</v>
      </c>
      <c r="E35" s="175" t="s">
        <v>61</v>
      </c>
      <c r="F35" s="177">
        <v>27000</v>
      </c>
      <c r="G35" s="177">
        <f t="shared" si="1"/>
        <v>108000</v>
      </c>
    </row>
    <row r="36" spans="1:9" ht="12.75" customHeight="1" x14ac:dyDescent="0.3">
      <c r="A36" s="16"/>
      <c r="B36" s="178" t="s">
        <v>87</v>
      </c>
      <c r="C36" s="175" t="s">
        <v>20</v>
      </c>
      <c r="D36" s="176">
        <v>12</v>
      </c>
      <c r="E36" s="175" t="s">
        <v>84</v>
      </c>
      <c r="F36" s="177">
        <v>27000</v>
      </c>
      <c r="G36" s="177">
        <f t="shared" si="1"/>
        <v>324000</v>
      </c>
    </row>
    <row r="37" spans="1:9" ht="12.75" customHeight="1" x14ac:dyDescent="0.3">
      <c r="A37" s="16"/>
      <c r="B37" s="178" t="s">
        <v>88</v>
      </c>
      <c r="C37" s="175" t="s">
        <v>20</v>
      </c>
      <c r="D37" s="179">
        <v>24</v>
      </c>
      <c r="E37" s="175" t="s">
        <v>89</v>
      </c>
      <c r="F37" s="177">
        <v>27000</v>
      </c>
      <c r="G37" s="177">
        <f t="shared" si="1"/>
        <v>648000</v>
      </c>
    </row>
    <row r="38" spans="1:9" ht="12.75" customHeight="1" x14ac:dyDescent="0.3">
      <c r="A38" s="16"/>
      <c r="B38" s="178" t="s">
        <v>90</v>
      </c>
      <c r="C38" s="175" t="s">
        <v>20</v>
      </c>
      <c r="D38" s="176">
        <v>15</v>
      </c>
      <c r="E38" s="175" t="s">
        <v>89</v>
      </c>
      <c r="F38" s="177">
        <v>27000</v>
      </c>
      <c r="G38" s="177">
        <f t="shared" si="1"/>
        <v>405000</v>
      </c>
    </row>
    <row r="39" spans="1:9" ht="12.75" customHeight="1" x14ac:dyDescent="0.3">
      <c r="A39" s="16"/>
      <c r="B39" s="174" t="s">
        <v>147</v>
      </c>
      <c r="C39" s="175"/>
      <c r="D39" s="176"/>
      <c r="E39" s="175"/>
      <c r="F39" s="177"/>
      <c r="G39" s="177"/>
    </row>
    <row r="40" spans="1:9" ht="12.75" customHeight="1" x14ac:dyDescent="0.3">
      <c r="A40" s="16"/>
      <c r="B40" s="178" t="s">
        <v>140</v>
      </c>
      <c r="C40" s="175" t="s">
        <v>20</v>
      </c>
      <c r="D40" s="176">
        <v>112</v>
      </c>
      <c r="E40" s="175" t="s">
        <v>173</v>
      </c>
      <c r="F40" s="177">
        <v>27000</v>
      </c>
      <c r="G40" s="177">
        <f t="shared" si="1"/>
        <v>3024000</v>
      </c>
    </row>
    <row r="41" spans="1:9" ht="27" customHeight="1" x14ac:dyDescent="0.3">
      <c r="A41" s="16"/>
      <c r="B41" s="174" t="s">
        <v>148</v>
      </c>
      <c r="C41" s="175"/>
      <c r="D41" s="176"/>
      <c r="E41" s="175"/>
      <c r="F41" s="177"/>
      <c r="G41" s="177"/>
    </row>
    <row r="42" spans="1:9" ht="12.75" customHeight="1" x14ac:dyDescent="0.3">
      <c r="A42" s="16"/>
      <c r="B42" s="178" t="s">
        <v>180</v>
      </c>
      <c r="C42" s="175" t="s">
        <v>20</v>
      </c>
      <c r="D42" s="176">
        <v>56</v>
      </c>
      <c r="E42" s="175" t="s">
        <v>173</v>
      </c>
      <c r="F42" s="177">
        <v>27000</v>
      </c>
      <c r="G42" s="177">
        <f t="shared" si="1"/>
        <v>1512000</v>
      </c>
    </row>
    <row r="43" spans="1:9" ht="12.75" customHeight="1" x14ac:dyDescent="0.3">
      <c r="A43" s="16"/>
      <c r="B43" s="25" t="s">
        <v>21</v>
      </c>
      <c r="C43" s="26"/>
      <c r="D43" s="26"/>
      <c r="E43" s="26"/>
      <c r="F43" s="27"/>
      <c r="G43" s="121">
        <f>SUM(G21:G42)</f>
        <v>19215000</v>
      </c>
    </row>
    <row r="44" spans="1:9" ht="12" customHeight="1" x14ac:dyDescent="0.3">
      <c r="A44" s="2"/>
      <c r="B44" s="17"/>
      <c r="C44" s="19"/>
      <c r="D44" s="19"/>
      <c r="E44" s="19"/>
      <c r="F44" s="28"/>
      <c r="G44" s="100"/>
    </row>
    <row r="45" spans="1:9" ht="12" customHeight="1" x14ac:dyDescent="0.3">
      <c r="A45" s="5"/>
      <c r="B45" s="29" t="s">
        <v>22</v>
      </c>
      <c r="C45" s="30"/>
      <c r="D45" s="31"/>
      <c r="E45" s="31"/>
      <c r="F45" s="32"/>
      <c r="G45" s="101"/>
    </row>
    <row r="46" spans="1:9" ht="24" customHeight="1" x14ac:dyDescent="0.3">
      <c r="A46" s="5"/>
      <c r="B46" s="33" t="s">
        <v>14</v>
      </c>
      <c r="C46" s="34" t="s">
        <v>15</v>
      </c>
      <c r="D46" s="34" t="s">
        <v>16</v>
      </c>
      <c r="E46" s="33" t="s">
        <v>57</v>
      </c>
      <c r="F46" s="34" t="s">
        <v>18</v>
      </c>
      <c r="G46" s="33" t="s">
        <v>19</v>
      </c>
    </row>
    <row r="47" spans="1:9" ht="12" customHeight="1" x14ac:dyDescent="0.3">
      <c r="A47" s="5"/>
      <c r="B47" s="35" t="s">
        <v>91</v>
      </c>
      <c r="C47" s="36" t="s">
        <v>91</v>
      </c>
      <c r="D47" s="36" t="s">
        <v>91</v>
      </c>
      <c r="E47" s="36" t="s">
        <v>91</v>
      </c>
      <c r="F47" s="90"/>
      <c r="G47" s="123"/>
    </row>
    <row r="48" spans="1:9" ht="12" customHeight="1" x14ac:dyDescent="0.3">
      <c r="A48" s="5"/>
      <c r="B48" s="37" t="s">
        <v>23</v>
      </c>
      <c r="C48" s="38"/>
      <c r="D48" s="38"/>
      <c r="E48" s="38"/>
      <c r="F48" s="39"/>
      <c r="G48" s="124"/>
    </row>
    <row r="49" spans="1:7" ht="12" customHeight="1" x14ac:dyDescent="0.3">
      <c r="A49" s="2"/>
      <c r="B49" s="40"/>
      <c r="C49" s="41"/>
      <c r="D49" s="41"/>
      <c r="E49" s="41"/>
      <c r="F49" s="42"/>
      <c r="G49" s="102"/>
    </row>
    <row r="50" spans="1:7" ht="12" customHeight="1" x14ac:dyDescent="0.3">
      <c r="A50" s="5"/>
      <c r="B50" s="29" t="s">
        <v>24</v>
      </c>
      <c r="C50" s="30"/>
      <c r="D50" s="31"/>
      <c r="E50" s="31"/>
      <c r="F50" s="32"/>
      <c r="G50" s="101"/>
    </row>
    <row r="51" spans="1:7" ht="24" customHeight="1" x14ac:dyDescent="0.3">
      <c r="A51" s="5"/>
      <c r="B51" s="43" t="s">
        <v>14</v>
      </c>
      <c r="C51" s="43" t="s">
        <v>15</v>
      </c>
      <c r="D51" s="43" t="s">
        <v>16</v>
      </c>
      <c r="E51" s="43" t="s">
        <v>17</v>
      </c>
      <c r="F51" s="44" t="s">
        <v>18</v>
      </c>
      <c r="G51" s="43" t="s">
        <v>19</v>
      </c>
    </row>
    <row r="52" spans="1:7" ht="41.25" customHeight="1" x14ac:dyDescent="0.3">
      <c r="A52" s="16"/>
      <c r="B52" s="181" t="s">
        <v>169</v>
      </c>
      <c r="C52" s="168" t="s">
        <v>92</v>
      </c>
      <c r="D52" s="169">
        <f>14.5+12</f>
        <v>26.5</v>
      </c>
      <c r="E52" s="168" t="s">
        <v>73</v>
      </c>
      <c r="F52" s="170">
        <f>18000*1.19</f>
        <v>21420</v>
      </c>
      <c r="G52" s="170">
        <f>D52*F52/2</f>
        <v>283815</v>
      </c>
    </row>
    <row r="53" spans="1:7" ht="36.75" customHeight="1" x14ac:dyDescent="0.3">
      <c r="A53" s="16"/>
      <c r="B53" s="168" t="s">
        <v>185</v>
      </c>
      <c r="C53" s="168" t="s">
        <v>93</v>
      </c>
      <c r="D53" s="169">
        <f>120*48</f>
        <v>5760</v>
      </c>
      <c r="E53" s="168" t="s">
        <v>73</v>
      </c>
      <c r="F53" s="170">
        <v>382</v>
      </c>
      <c r="G53" s="170">
        <f>D53*F53/2</f>
        <v>1100160</v>
      </c>
    </row>
    <row r="54" spans="1:7" ht="12.75" customHeight="1" x14ac:dyDescent="0.3">
      <c r="A54" s="5"/>
      <c r="B54" s="45" t="s">
        <v>25</v>
      </c>
      <c r="C54" s="46"/>
      <c r="D54" s="46"/>
      <c r="E54" s="46"/>
      <c r="F54" s="46"/>
      <c r="G54" s="122">
        <f>SUM(G52:G53)</f>
        <v>1383975</v>
      </c>
    </row>
    <row r="55" spans="1:7" ht="12" customHeight="1" x14ac:dyDescent="0.3">
      <c r="A55" s="2"/>
      <c r="B55" s="40"/>
      <c r="C55" s="41"/>
      <c r="D55" s="41"/>
      <c r="E55" s="41"/>
      <c r="F55" s="42"/>
      <c r="G55" s="102"/>
    </row>
    <row r="56" spans="1:7" ht="12" customHeight="1" x14ac:dyDescent="0.3">
      <c r="A56" s="5"/>
      <c r="B56" s="29" t="s">
        <v>26</v>
      </c>
      <c r="C56" s="30"/>
      <c r="D56" s="31"/>
      <c r="E56" s="31"/>
      <c r="F56" s="32"/>
      <c r="G56" s="101"/>
    </row>
    <row r="57" spans="1:7" ht="24" customHeight="1" x14ac:dyDescent="0.3">
      <c r="A57" s="5"/>
      <c r="B57" s="93" t="s">
        <v>27</v>
      </c>
      <c r="C57" s="93" t="s">
        <v>28</v>
      </c>
      <c r="D57" s="93" t="s">
        <v>29</v>
      </c>
      <c r="E57" s="93" t="s">
        <v>17</v>
      </c>
      <c r="F57" s="93" t="s">
        <v>18</v>
      </c>
      <c r="G57" s="103" t="s">
        <v>19</v>
      </c>
    </row>
    <row r="58" spans="1:7" ht="12.75" customHeight="1" x14ac:dyDescent="0.3">
      <c r="A58" s="56"/>
      <c r="B58" s="130" t="s">
        <v>151</v>
      </c>
      <c r="C58" s="96"/>
      <c r="D58" s="95"/>
      <c r="E58" s="96"/>
      <c r="F58" s="96"/>
      <c r="G58" s="95"/>
    </row>
    <row r="59" spans="1:7" ht="24" customHeight="1" x14ac:dyDescent="0.3">
      <c r="A59" s="56"/>
      <c r="B59" s="148" t="s">
        <v>177</v>
      </c>
      <c r="C59" s="149" t="s">
        <v>60</v>
      </c>
      <c r="D59" s="150">
        <f>2850-500</f>
        <v>2350</v>
      </c>
      <c r="E59" s="149" t="s">
        <v>67</v>
      </c>
      <c r="F59" s="152">
        <v>4403</v>
      </c>
      <c r="G59" s="152">
        <f>D59*F59/3</f>
        <v>3449016.6666666665</v>
      </c>
    </row>
    <row r="60" spans="1:7" ht="31.5" customHeight="1" x14ac:dyDescent="0.3">
      <c r="A60" s="56"/>
      <c r="B60" s="153" t="s">
        <v>183</v>
      </c>
      <c r="C60" s="149" t="s">
        <v>94</v>
      </c>
      <c r="D60" s="150">
        <v>500</v>
      </c>
      <c r="E60" s="149" t="s">
        <v>67</v>
      </c>
      <c r="F60" s="152">
        <f>2950*1.19</f>
        <v>3510.5</v>
      </c>
      <c r="G60" s="152">
        <f>D60*F60/2</f>
        <v>877625</v>
      </c>
    </row>
    <row r="61" spans="1:7" ht="26.25" customHeight="1" x14ac:dyDescent="0.3">
      <c r="A61" s="56"/>
      <c r="B61" s="153" t="s">
        <v>178</v>
      </c>
      <c r="C61" s="149" t="s">
        <v>60</v>
      </c>
      <c r="D61" s="150">
        <v>330</v>
      </c>
      <c r="E61" s="149" t="s">
        <v>67</v>
      </c>
      <c r="F61" s="152">
        <f>3700*1.19</f>
        <v>4403</v>
      </c>
      <c r="G61" s="152">
        <f>D61*F61/3</f>
        <v>484330</v>
      </c>
    </row>
    <row r="62" spans="1:7" ht="24.75" customHeight="1" x14ac:dyDescent="0.3">
      <c r="A62" s="56"/>
      <c r="B62" s="153" t="s">
        <v>179</v>
      </c>
      <c r="C62" s="149" t="s">
        <v>60</v>
      </c>
      <c r="D62" s="150">
        <v>230</v>
      </c>
      <c r="E62" s="149" t="s">
        <v>67</v>
      </c>
      <c r="F62" s="152">
        <f>3700*1.19</f>
        <v>4403</v>
      </c>
      <c r="G62" s="152">
        <f>D62*F62/3</f>
        <v>337563.33333333331</v>
      </c>
    </row>
    <row r="63" spans="1:7" ht="26.25" customHeight="1" x14ac:dyDescent="0.3">
      <c r="A63" s="56"/>
      <c r="B63" s="153" t="s">
        <v>161</v>
      </c>
      <c r="C63" s="149" t="s">
        <v>60</v>
      </c>
      <c r="D63" s="150">
        <v>215</v>
      </c>
      <c r="E63" s="149" t="s">
        <v>67</v>
      </c>
      <c r="F63" s="152">
        <f>3700*1.19</f>
        <v>4403</v>
      </c>
      <c r="G63" s="152">
        <f>D63*F63/3</f>
        <v>315548.33333333331</v>
      </c>
    </row>
    <row r="64" spans="1:7" ht="30" customHeight="1" x14ac:dyDescent="0.3">
      <c r="A64" s="56"/>
      <c r="B64" s="153" t="s">
        <v>162</v>
      </c>
      <c r="C64" s="149" t="s">
        <v>60</v>
      </c>
      <c r="D64" s="150">
        <v>80</v>
      </c>
      <c r="E64" s="149" t="s">
        <v>67</v>
      </c>
      <c r="F64" s="152">
        <f>2950*1.19</f>
        <v>3510.5</v>
      </c>
      <c r="G64" s="152">
        <f>D64*F64/2</f>
        <v>140420</v>
      </c>
    </row>
    <row r="65" spans="1:234" ht="27" customHeight="1" x14ac:dyDescent="0.3">
      <c r="A65" s="56"/>
      <c r="B65" s="153" t="s">
        <v>182</v>
      </c>
      <c r="C65" s="149" t="s">
        <v>160</v>
      </c>
      <c r="D65" s="150">
        <v>14</v>
      </c>
      <c r="E65" s="149" t="s">
        <v>67</v>
      </c>
      <c r="F65" s="152">
        <v>250000</v>
      </c>
      <c r="G65" s="152">
        <f>D65*F65/8</f>
        <v>437500</v>
      </c>
    </row>
    <row r="66" spans="1:234" ht="28.5" customHeight="1" x14ac:dyDescent="0.3">
      <c r="A66" s="56"/>
      <c r="B66" s="137" t="s">
        <v>164</v>
      </c>
      <c r="C66" s="139" t="s">
        <v>163</v>
      </c>
      <c r="D66" s="134">
        <v>4</v>
      </c>
      <c r="E66" s="149" t="s">
        <v>67</v>
      </c>
      <c r="F66" s="135">
        <v>52836</v>
      </c>
      <c r="G66" s="136">
        <f>D66*F66/8</f>
        <v>26418</v>
      </c>
    </row>
    <row r="67" spans="1:234" ht="43.5" customHeight="1" x14ac:dyDescent="0.3">
      <c r="A67" s="56"/>
      <c r="B67" s="153" t="s">
        <v>184</v>
      </c>
      <c r="C67" s="149" t="s">
        <v>60</v>
      </c>
      <c r="D67" s="150">
        <v>420</v>
      </c>
      <c r="E67" s="149" t="s">
        <v>67</v>
      </c>
      <c r="F67" s="152">
        <f>2950*1.19</f>
        <v>3510.5</v>
      </c>
      <c r="G67" s="152">
        <f>D67*F67/2</f>
        <v>737205</v>
      </c>
      <c r="H67" s="192"/>
    </row>
    <row r="68" spans="1:234" s="142" customFormat="1" ht="12.75" customHeight="1" x14ac:dyDescent="0.3">
      <c r="A68" s="140"/>
      <c r="B68" s="143" t="s">
        <v>165</v>
      </c>
      <c r="C68" s="158"/>
      <c r="D68" s="159"/>
      <c r="E68" s="158"/>
      <c r="F68" s="160"/>
      <c r="G68" s="160"/>
      <c r="H68" s="193"/>
      <c r="I68" s="193"/>
      <c r="J68" s="141"/>
      <c r="K68" s="141"/>
      <c r="L68" s="141"/>
      <c r="M68" s="141"/>
      <c r="N68" s="141"/>
      <c r="O68" s="141"/>
      <c r="P68" s="141"/>
      <c r="Q68" s="141"/>
      <c r="R68" s="141"/>
      <c r="S68" s="141"/>
      <c r="T68" s="141"/>
      <c r="U68" s="141"/>
      <c r="V68" s="141"/>
      <c r="W68" s="141"/>
      <c r="X68" s="141"/>
      <c r="Y68" s="141"/>
      <c r="Z68" s="141"/>
      <c r="AA68" s="141"/>
      <c r="AB68" s="141"/>
      <c r="AC68" s="141"/>
      <c r="AD68" s="141"/>
      <c r="AE68" s="141"/>
      <c r="AF68" s="141"/>
      <c r="AG68" s="141"/>
      <c r="AH68" s="141"/>
      <c r="AI68" s="141"/>
      <c r="AJ68" s="141"/>
      <c r="AK68" s="141"/>
      <c r="AL68" s="141"/>
      <c r="AM68" s="141"/>
      <c r="AN68" s="141"/>
      <c r="AO68" s="141"/>
      <c r="AP68" s="141"/>
      <c r="AQ68" s="141"/>
      <c r="AR68" s="141"/>
      <c r="AS68" s="141"/>
      <c r="AT68" s="141"/>
      <c r="AU68" s="141"/>
      <c r="AV68" s="141"/>
      <c r="AW68" s="141"/>
      <c r="AX68" s="141"/>
      <c r="AY68" s="141"/>
      <c r="AZ68" s="141"/>
      <c r="BA68" s="141"/>
      <c r="BB68" s="141"/>
      <c r="BC68" s="141"/>
      <c r="BD68" s="141"/>
      <c r="BE68" s="141"/>
      <c r="BF68" s="141"/>
      <c r="BG68" s="141"/>
      <c r="BH68" s="141"/>
      <c r="BI68" s="141"/>
      <c r="BJ68" s="141"/>
      <c r="BK68" s="141"/>
      <c r="BL68" s="141"/>
      <c r="BM68" s="141"/>
      <c r="BN68" s="141"/>
      <c r="BO68" s="141"/>
      <c r="BP68" s="141"/>
      <c r="BQ68" s="141"/>
      <c r="BR68" s="141"/>
      <c r="BS68" s="141"/>
      <c r="BT68" s="141"/>
      <c r="BU68" s="141"/>
      <c r="BV68" s="141"/>
      <c r="BW68" s="141"/>
      <c r="BX68" s="141"/>
      <c r="BY68" s="141"/>
      <c r="BZ68" s="141"/>
      <c r="CA68" s="141"/>
      <c r="CB68" s="141"/>
      <c r="CC68" s="141"/>
      <c r="CD68" s="141"/>
      <c r="CE68" s="141"/>
      <c r="CF68" s="141"/>
      <c r="CG68" s="141"/>
      <c r="CH68" s="141"/>
      <c r="CI68" s="141"/>
      <c r="CJ68" s="141"/>
      <c r="CK68" s="141"/>
      <c r="CL68" s="141"/>
      <c r="CM68" s="141"/>
      <c r="CN68" s="141"/>
      <c r="CO68" s="141"/>
      <c r="CP68" s="141"/>
      <c r="CQ68" s="141"/>
      <c r="CR68" s="141"/>
      <c r="CS68" s="141"/>
      <c r="CT68" s="141"/>
      <c r="CU68" s="141"/>
      <c r="CV68" s="141"/>
      <c r="CW68" s="141"/>
      <c r="CX68" s="141"/>
      <c r="CY68" s="141"/>
      <c r="CZ68" s="141"/>
      <c r="DA68" s="141"/>
      <c r="DB68" s="141"/>
      <c r="DC68" s="141"/>
      <c r="DD68" s="141"/>
      <c r="DE68" s="141"/>
      <c r="DF68" s="141"/>
      <c r="DG68" s="141"/>
      <c r="DH68" s="141"/>
      <c r="DI68" s="141"/>
      <c r="DJ68" s="141"/>
      <c r="DK68" s="141"/>
      <c r="DL68" s="141"/>
      <c r="DM68" s="141"/>
      <c r="DN68" s="141"/>
      <c r="DO68" s="141"/>
      <c r="DP68" s="141"/>
      <c r="DQ68" s="141"/>
      <c r="DR68" s="141"/>
      <c r="DS68" s="141"/>
      <c r="DT68" s="141"/>
      <c r="DU68" s="141"/>
      <c r="DV68" s="141"/>
      <c r="DW68" s="141"/>
      <c r="DX68" s="141"/>
      <c r="DY68" s="141"/>
      <c r="DZ68" s="141"/>
      <c r="EA68" s="141"/>
      <c r="EB68" s="141"/>
      <c r="EC68" s="141"/>
      <c r="ED68" s="141"/>
      <c r="EE68" s="141"/>
      <c r="EF68" s="141"/>
      <c r="EG68" s="141"/>
      <c r="EH68" s="141"/>
      <c r="EI68" s="141"/>
      <c r="EJ68" s="141"/>
      <c r="EK68" s="141"/>
      <c r="EL68" s="141"/>
      <c r="EM68" s="141"/>
      <c r="EN68" s="141"/>
      <c r="EO68" s="141"/>
      <c r="EP68" s="141"/>
      <c r="EQ68" s="141"/>
      <c r="ER68" s="141"/>
      <c r="ES68" s="141"/>
      <c r="ET68" s="141"/>
      <c r="EU68" s="141"/>
      <c r="EV68" s="141"/>
      <c r="EW68" s="141"/>
      <c r="EX68" s="141"/>
      <c r="EY68" s="141"/>
      <c r="EZ68" s="141"/>
      <c r="FA68" s="141"/>
      <c r="FB68" s="141"/>
      <c r="FC68" s="141"/>
      <c r="FD68" s="141"/>
      <c r="FE68" s="141"/>
      <c r="FF68" s="141"/>
      <c r="FG68" s="141"/>
      <c r="FH68" s="141"/>
      <c r="FI68" s="141"/>
      <c r="FJ68" s="141"/>
      <c r="FK68" s="141"/>
      <c r="FL68" s="141"/>
      <c r="FM68" s="141"/>
      <c r="FN68" s="141"/>
      <c r="FO68" s="141"/>
      <c r="FP68" s="141"/>
      <c r="FQ68" s="141"/>
      <c r="FR68" s="141"/>
      <c r="FS68" s="141"/>
      <c r="FT68" s="141"/>
      <c r="FU68" s="141"/>
      <c r="FV68" s="141"/>
      <c r="FW68" s="141"/>
      <c r="FX68" s="141"/>
      <c r="FY68" s="141"/>
      <c r="FZ68" s="141"/>
      <c r="GA68" s="141"/>
      <c r="GB68" s="141"/>
      <c r="GC68" s="141"/>
      <c r="GD68" s="141"/>
      <c r="GE68" s="141"/>
      <c r="GF68" s="141"/>
      <c r="GG68" s="141"/>
      <c r="GH68" s="141"/>
      <c r="GI68" s="141"/>
      <c r="GJ68" s="141"/>
      <c r="GK68" s="141"/>
      <c r="GL68" s="141"/>
      <c r="GM68" s="141"/>
      <c r="GN68" s="141"/>
      <c r="GO68" s="141"/>
      <c r="GP68" s="141"/>
      <c r="GQ68" s="141"/>
      <c r="GR68" s="141"/>
      <c r="GS68" s="141"/>
      <c r="GT68" s="141"/>
      <c r="GU68" s="141"/>
      <c r="GV68" s="141"/>
      <c r="GW68" s="141"/>
      <c r="GX68" s="141"/>
      <c r="GY68" s="141"/>
      <c r="GZ68" s="141"/>
      <c r="HA68" s="141"/>
      <c r="HB68" s="141"/>
      <c r="HC68" s="141"/>
      <c r="HD68" s="141"/>
      <c r="HE68" s="141"/>
      <c r="HF68" s="141"/>
      <c r="HG68" s="141"/>
      <c r="HH68" s="141"/>
      <c r="HI68" s="141"/>
      <c r="HJ68" s="141"/>
      <c r="HK68" s="141"/>
      <c r="HL68" s="141"/>
      <c r="HM68" s="141"/>
      <c r="HN68" s="141"/>
      <c r="HO68" s="141"/>
      <c r="HP68" s="141"/>
      <c r="HQ68" s="141"/>
      <c r="HR68" s="141"/>
      <c r="HS68" s="141"/>
      <c r="HT68" s="141"/>
      <c r="HU68" s="141"/>
      <c r="HV68" s="141"/>
      <c r="HW68" s="141"/>
      <c r="HX68" s="141"/>
      <c r="HY68" s="141"/>
      <c r="HZ68" s="141"/>
    </row>
    <row r="69" spans="1:234" ht="24.75" customHeight="1" x14ac:dyDescent="0.3">
      <c r="A69" s="56"/>
      <c r="B69" s="156" t="s">
        <v>176</v>
      </c>
      <c r="C69" s="149" t="s">
        <v>93</v>
      </c>
      <c r="D69" s="150">
        <v>11520</v>
      </c>
      <c r="E69" s="149" t="s">
        <v>75</v>
      </c>
      <c r="F69" s="152">
        <f>42*1.19</f>
        <v>49.98</v>
      </c>
      <c r="G69" s="152">
        <f>D69*F69/2</f>
        <v>287884.79999999999</v>
      </c>
    </row>
    <row r="70" spans="1:234" ht="12.75" customHeight="1" x14ac:dyDescent="0.3">
      <c r="A70" s="56"/>
      <c r="B70" s="153" t="s">
        <v>95</v>
      </c>
      <c r="C70" s="151" t="s">
        <v>60</v>
      </c>
      <c r="D70" s="180">
        <v>40.510127531882972</v>
      </c>
      <c r="E70" s="151" t="s">
        <v>134</v>
      </c>
      <c r="F70" s="155">
        <f>4202*1.19</f>
        <v>5000.38</v>
      </c>
      <c r="G70" s="155">
        <f t="shared" ref="G70" si="2">D70*F70</f>
        <v>202566.03150787699</v>
      </c>
    </row>
    <row r="71" spans="1:234" ht="27" customHeight="1" x14ac:dyDescent="0.3">
      <c r="A71" s="56"/>
      <c r="B71" s="153" t="s">
        <v>167</v>
      </c>
      <c r="C71" s="151" t="s">
        <v>166</v>
      </c>
      <c r="D71" s="180">
        <v>1</v>
      </c>
      <c r="E71" s="151" t="s">
        <v>168</v>
      </c>
      <c r="F71" s="155">
        <v>10000000</v>
      </c>
      <c r="G71" s="155">
        <f>D71*F71/8</f>
        <v>1250000</v>
      </c>
    </row>
    <row r="72" spans="1:234" ht="12.75" customHeight="1" x14ac:dyDescent="0.3">
      <c r="A72" s="56"/>
      <c r="B72" s="130" t="s">
        <v>150</v>
      </c>
      <c r="C72" s="92"/>
      <c r="D72" s="94"/>
      <c r="E72" s="92"/>
      <c r="F72" s="95"/>
      <c r="G72" s="95"/>
    </row>
    <row r="73" spans="1:234" ht="12.75" customHeight="1" x14ac:dyDescent="0.3">
      <c r="A73" s="56"/>
      <c r="B73" s="156" t="s">
        <v>144</v>
      </c>
      <c r="C73" s="151" t="s">
        <v>59</v>
      </c>
      <c r="D73" s="154">
        <v>14000</v>
      </c>
      <c r="E73" s="151" t="s">
        <v>73</v>
      </c>
      <c r="F73" s="155">
        <v>630</v>
      </c>
      <c r="G73" s="155">
        <f t="shared" ref="G73:G111" si="3">D73*F73</f>
        <v>8820000</v>
      </c>
      <c r="H73" s="192"/>
    </row>
    <row r="74" spans="1:234" ht="12.75" customHeight="1" x14ac:dyDescent="0.3">
      <c r="A74" s="56"/>
      <c r="C74" s="92"/>
      <c r="D74" s="94"/>
      <c r="E74" s="92"/>
      <c r="F74" s="95"/>
      <c r="G74" s="95"/>
    </row>
    <row r="75" spans="1:234" ht="12.75" customHeight="1" x14ac:dyDescent="0.3">
      <c r="A75" s="56"/>
      <c r="B75" s="131" t="s">
        <v>58</v>
      </c>
      <c r="C75" s="92"/>
      <c r="D75" s="94"/>
      <c r="E75" s="92"/>
      <c r="F75" s="95"/>
      <c r="G75" s="95"/>
    </row>
    <row r="76" spans="1:234" ht="12.75" customHeight="1" x14ac:dyDescent="0.3">
      <c r="A76" s="56"/>
      <c r="B76" s="157" t="s">
        <v>96</v>
      </c>
      <c r="C76" s="151" t="s">
        <v>97</v>
      </c>
      <c r="D76" s="154">
        <v>50</v>
      </c>
      <c r="E76" s="151" t="s">
        <v>73</v>
      </c>
      <c r="F76" s="155">
        <v>8000</v>
      </c>
      <c r="G76" s="155">
        <f t="shared" si="3"/>
        <v>400000</v>
      </c>
    </row>
    <row r="77" spans="1:234" ht="12.75" customHeight="1" x14ac:dyDescent="0.3">
      <c r="A77" s="56"/>
      <c r="B77" s="157" t="s">
        <v>98</v>
      </c>
      <c r="C77" s="151" t="s">
        <v>94</v>
      </c>
      <c r="D77" s="154">
        <v>250</v>
      </c>
      <c r="E77" s="151" t="s">
        <v>73</v>
      </c>
      <c r="F77" s="155">
        <f>897*1.19</f>
        <v>1067.43</v>
      </c>
      <c r="G77" s="155">
        <f t="shared" si="3"/>
        <v>266857.5</v>
      </c>
    </row>
    <row r="78" spans="1:234" ht="12.75" customHeight="1" x14ac:dyDescent="0.3">
      <c r="A78" s="56"/>
      <c r="B78" s="157" t="s">
        <v>99</v>
      </c>
      <c r="C78" s="151" t="s">
        <v>94</v>
      </c>
      <c r="D78" s="154">
        <v>200</v>
      </c>
      <c r="E78" s="151" t="s">
        <v>100</v>
      </c>
      <c r="F78" s="155">
        <f>2020*1.19</f>
        <v>2403.7999999999997</v>
      </c>
      <c r="G78" s="155">
        <f t="shared" si="3"/>
        <v>480759.99999999994</v>
      </c>
    </row>
    <row r="79" spans="1:234" s="142" customFormat="1" ht="12.75" customHeight="1" x14ac:dyDescent="0.3">
      <c r="A79" s="140"/>
      <c r="B79" s="197" t="s">
        <v>101</v>
      </c>
      <c r="C79" s="198" t="s">
        <v>102</v>
      </c>
      <c r="D79" s="199">
        <v>1300</v>
      </c>
      <c r="E79" s="198" t="s">
        <v>84</v>
      </c>
      <c r="F79" s="200">
        <v>1946</v>
      </c>
      <c r="G79" s="200">
        <f t="shared" si="3"/>
        <v>2529800</v>
      </c>
      <c r="H79" s="201"/>
      <c r="I79" s="193"/>
      <c r="J79" s="202"/>
      <c r="K79" s="141"/>
      <c r="L79" s="141"/>
      <c r="M79" s="141"/>
      <c r="N79" s="141"/>
      <c r="O79" s="141"/>
      <c r="P79" s="141"/>
      <c r="Q79" s="141"/>
      <c r="R79" s="141"/>
      <c r="S79" s="141"/>
      <c r="T79" s="141"/>
      <c r="U79" s="141"/>
      <c r="V79" s="141"/>
      <c r="W79" s="141"/>
      <c r="X79" s="141"/>
      <c r="Y79" s="141"/>
      <c r="Z79" s="141"/>
      <c r="AA79" s="141"/>
      <c r="AB79" s="141"/>
      <c r="AC79" s="141"/>
      <c r="AD79" s="141"/>
      <c r="AE79" s="141"/>
      <c r="AF79" s="141"/>
      <c r="AG79" s="141"/>
      <c r="AH79" s="141"/>
      <c r="AI79" s="141"/>
      <c r="AJ79" s="141"/>
      <c r="AK79" s="141"/>
      <c r="AL79" s="141"/>
      <c r="AM79" s="141"/>
      <c r="AN79" s="141"/>
      <c r="AO79" s="141"/>
      <c r="AP79" s="141"/>
      <c r="AQ79" s="141"/>
      <c r="AR79" s="141"/>
      <c r="AS79" s="141"/>
      <c r="AT79" s="141"/>
      <c r="AU79" s="141"/>
      <c r="AV79" s="141"/>
      <c r="AW79" s="141"/>
      <c r="AX79" s="141"/>
      <c r="AY79" s="141"/>
      <c r="AZ79" s="141"/>
      <c r="BA79" s="141"/>
      <c r="BB79" s="141"/>
      <c r="BC79" s="141"/>
      <c r="BD79" s="141"/>
      <c r="BE79" s="141"/>
      <c r="BF79" s="141"/>
      <c r="BG79" s="141"/>
      <c r="BH79" s="141"/>
      <c r="BI79" s="141"/>
      <c r="BJ79" s="141"/>
      <c r="BK79" s="141"/>
      <c r="BL79" s="141"/>
      <c r="BM79" s="141"/>
      <c r="BN79" s="141"/>
      <c r="BO79" s="141"/>
      <c r="BP79" s="141"/>
      <c r="BQ79" s="141"/>
      <c r="BR79" s="141"/>
      <c r="BS79" s="141"/>
      <c r="BT79" s="141"/>
      <c r="BU79" s="141"/>
      <c r="BV79" s="141"/>
      <c r="BW79" s="141"/>
      <c r="BX79" s="141"/>
      <c r="BY79" s="141"/>
      <c r="BZ79" s="141"/>
      <c r="CA79" s="141"/>
      <c r="CB79" s="141"/>
      <c r="CC79" s="141"/>
      <c r="CD79" s="141"/>
      <c r="CE79" s="141"/>
      <c r="CF79" s="141"/>
      <c r="CG79" s="141"/>
      <c r="CH79" s="141"/>
      <c r="CI79" s="141"/>
      <c r="CJ79" s="141"/>
      <c r="CK79" s="141"/>
      <c r="CL79" s="141"/>
      <c r="CM79" s="141"/>
      <c r="CN79" s="141"/>
      <c r="CO79" s="141"/>
      <c r="CP79" s="141"/>
      <c r="CQ79" s="141"/>
      <c r="CR79" s="141"/>
      <c r="CS79" s="141"/>
      <c r="CT79" s="141"/>
      <c r="CU79" s="141"/>
      <c r="CV79" s="141"/>
      <c r="CW79" s="141"/>
      <c r="CX79" s="141"/>
      <c r="CY79" s="141"/>
      <c r="CZ79" s="141"/>
      <c r="DA79" s="141"/>
      <c r="DB79" s="141"/>
      <c r="DC79" s="141"/>
      <c r="DD79" s="141"/>
      <c r="DE79" s="141"/>
      <c r="DF79" s="141"/>
      <c r="DG79" s="141"/>
      <c r="DH79" s="141"/>
      <c r="DI79" s="141"/>
      <c r="DJ79" s="141"/>
      <c r="DK79" s="141"/>
      <c r="DL79" s="141"/>
      <c r="DM79" s="141"/>
      <c r="DN79" s="141"/>
      <c r="DO79" s="141"/>
      <c r="DP79" s="141"/>
      <c r="DQ79" s="141"/>
      <c r="DR79" s="141"/>
      <c r="DS79" s="141"/>
      <c r="DT79" s="141"/>
      <c r="DU79" s="141"/>
      <c r="DV79" s="141"/>
      <c r="DW79" s="141"/>
      <c r="DX79" s="141"/>
      <c r="DY79" s="141"/>
      <c r="DZ79" s="141"/>
      <c r="EA79" s="141"/>
      <c r="EB79" s="141"/>
      <c r="EC79" s="141"/>
      <c r="ED79" s="141"/>
      <c r="EE79" s="141"/>
      <c r="EF79" s="141"/>
      <c r="EG79" s="141"/>
      <c r="EH79" s="141"/>
      <c r="EI79" s="141"/>
      <c r="EJ79" s="141"/>
      <c r="EK79" s="141"/>
      <c r="EL79" s="141"/>
      <c r="EM79" s="141"/>
      <c r="EN79" s="141"/>
      <c r="EO79" s="141"/>
      <c r="EP79" s="141"/>
      <c r="EQ79" s="141"/>
      <c r="ER79" s="141"/>
      <c r="ES79" s="141"/>
      <c r="ET79" s="141"/>
      <c r="EU79" s="141"/>
      <c r="EV79" s="141"/>
      <c r="EW79" s="141"/>
      <c r="EX79" s="141"/>
      <c r="EY79" s="141"/>
      <c r="EZ79" s="141"/>
      <c r="FA79" s="141"/>
      <c r="FB79" s="141"/>
      <c r="FC79" s="141"/>
      <c r="FD79" s="141"/>
      <c r="FE79" s="141"/>
      <c r="FF79" s="141"/>
      <c r="FG79" s="141"/>
      <c r="FH79" s="141"/>
      <c r="FI79" s="141"/>
      <c r="FJ79" s="141"/>
      <c r="FK79" s="141"/>
      <c r="FL79" s="141"/>
      <c r="FM79" s="141"/>
      <c r="FN79" s="141"/>
      <c r="FO79" s="141"/>
      <c r="FP79" s="141"/>
      <c r="FQ79" s="141"/>
      <c r="FR79" s="141"/>
      <c r="FS79" s="141"/>
      <c r="FT79" s="141"/>
      <c r="FU79" s="141"/>
      <c r="FV79" s="141"/>
      <c r="FW79" s="141"/>
      <c r="FX79" s="141"/>
      <c r="FY79" s="141"/>
      <c r="FZ79" s="141"/>
      <c r="GA79" s="141"/>
      <c r="GB79" s="141"/>
      <c r="GC79" s="141"/>
      <c r="GD79" s="141"/>
      <c r="GE79" s="141"/>
      <c r="GF79" s="141"/>
      <c r="GG79" s="141"/>
      <c r="GH79" s="141"/>
      <c r="GI79" s="141"/>
      <c r="GJ79" s="141"/>
      <c r="GK79" s="141"/>
      <c r="GL79" s="141"/>
      <c r="GM79" s="141"/>
      <c r="GN79" s="141"/>
      <c r="GO79" s="141"/>
      <c r="GP79" s="141"/>
      <c r="GQ79" s="141"/>
      <c r="GR79" s="141"/>
      <c r="GS79" s="141"/>
      <c r="GT79" s="141"/>
      <c r="GU79" s="141"/>
      <c r="GV79" s="141"/>
      <c r="GW79" s="141"/>
      <c r="GX79" s="141"/>
      <c r="GY79" s="141"/>
      <c r="GZ79" s="141"/>
      <c r="HA79" s="141"/>
      <c r="HB79" s="141"/>
      <c r="HC79" s="141"/>
      <c r="HD79" s="141"/>
      <c r="HE79" s="141"/>
      <c r="HF79" s="141"/>
      <c r="HG79" s="141"/>
      <c r="HH79" s="141"/>
      <c r="HI79" s="141"/>
      <c r="HJ79" s="141"/>
      <c r="HK79" s="141"/>
      <c r="HL79" s="141"/>
      <c r="HM79" s="141"/>
      <c r="HN79" s="141"/>
      <c r="HO79" s="141"/>
      <c r="HP79" s="141"/>
      <c r="HQ79" s="141"/>
      <c r="HR79" s="141"/>
      <c r="HS79" s="141"/>
      <c r="HT79" s="141"/>
      <c r="HU79" s="141"/>
      <c r="HV79" s="141"/>
      <c r="HW79" s="141"/>
      <c r="HX79" s="141"/>
      <c r="HY79" s="141"/>
      <c r="HZ79" s="141"/>
    </row>
    <row r="80" spans="1:234" s="142" customFormat="1" ht="12.75" customHeight="1" x14ac:dyDescent="0.3">
      <c r="A80" s="140"/>
      <c r="B80" s="197" t="s">
        <v>103</v>
      </c>
      <c r="C80" s="198" t="s">
        <v>94</v>
      </c>
      <c r="D80" s="199">
        <v>450</v>
      </c>
      <c r="E80" s="198" t="s">
        <v>84</v>
      </c>
      <c r="F80" s="200">
        <f>666*1.19</f>
        <v>792.54</v>
      </c>
      <c r="G80" s="200">
        <f t="shared" si="3"/>
        <v>356643</v>
      </c>
      <c r="H80" s="193"/>
      <c r="I80" s="203"/>
      <c r="J80" s="202"/>
      <c r="K80" s="141"/>
      <c r="L80" s="141"/>
      <c r="M80" s="141"/>
      <c r="N80" s="141"/>
      <c r="O80" s="141"/>
      <c r="P80" s="141"/>
      <c r="Q80" s="141"/>
      <c r="R80" s="141"/>
      <c r="S80" s="141"/>
      <c r="T80" s="141"/>
      <c r="U80" s="141"/>
      <c r="V80" s="141"/>
      <c r="W80" s="141"/>
      <c r="X80" s="141"/>
      <c r="Y80" s="141"/>
      <c r="Z80" s="141"/>
      <c r="AA80" s="141"/>
      <c r="AB80" s="141"/>
      <c r="AC80" s="141"/>
      <c r="AD80" s="141"/>
      <c r="AE80" s="141"/>
      <c r="AF80" s="141"/>
      <c r="AG80" s="141"/>
      <c r="AH80" s="141"/>
      <c r="AI80" s="141"/>
      <c r="AJ80" s="141"/>
      <c r="AK80" s="141"/>
      <c r="AL80" s="141"/>
      <c r="AM80" s="141"/>
      <c r="AN80" s="141"/>
      <c r="AO80" s="141"/>
      <c r="AP80" s="141"/>
      <c r="AQ80" s="141"/>
      <c r="AR80" s="141"/>
      <c r="AS80" s="141"/>
      <c r="AT80" s="141"/>
      <c r="AU80" s="141"/>
      <c r="AV80" s="141"/>
      <c r="AW80" s="141"/>
      <c r="AX80" s="141"/>
      <c r="AY80" s="141"/>
      <c r="AZ80" s="141"/>
      <c r="BA80" s="141"/>
      <c r="BB80" s="141"/>
      <c r="BC80" s="141"/>
      <c r="BD80" s="141"/>
      <c r="BE80" s="141"/>
      <c r="BF80" s="141"/>
      <c r="BG80" s="141"/>
      <c r="BH80" s="141"/>
      <c r="BI80" s="141"/>
      <c r="BJ80" s="141"/>
      <c r="BK80" s="141"/>
      <c r="BL80" s="141"/>
      <c r="BM80" s="141"/>
      <c r="BN80" s="141"/>
      <c r="BO80" s="141"/>
      <c r="BP80" s="141"/>
      <c r="BQ80" s="141"/>
      <c r="BR80" s="141"/>
      <c r="BS80" s="141"/>
      <c r="BT80" s="141"/>
      <c r="BU80" s="141"/>
      <c r="BV80" s="141"/>
      <c r="BW80" s="141"/>
      <c r="BX80" s="141"/>
      <c r="BY80" s="141"/>
      <c r="BZ80" s="141"/>
      <c r="CA80" s="141"/>
      <c r="CB80" s="141"/>
      <c r="CC80" s="141"/>
      <c r="CD80" s="141"/>
      <c r="CE80" s="141"/>
      <c r="CF80" s="141"/>
      <c r="CG80" s="141"/>
      <c r="CH80" s="141"/>
      <c r="CI80" s="141"/>
      <c r="CJ80" s="141"/>
      <c r="CK80" s="141"/>
      <c r="CL80" s="141"/>
      <c r="CM80" s="141"/>
      <c r="CN80" s="141"/>
      <c r="CO80" s="141"/>
      <c r="CP80" s="141"/>
      <c r="CQ80" s="141"/>
      <c r="CR80" s="141"/>
      <c r="CS80" s="141"/>
      <c r="CT80" s="141"/>
      <c r="CU80" s="141"/>
      <c r="CV80" s="141"/>
      <c r="CW80" s="141"/>
      <c r="CX80" s="141"/>
      <c r="CY80" s="141"/>
      <c r="CZ80" s="141"/>
      <c r="DA80" s="141"/>
      <c r="DB80" s="141"/>
      <c r="DC80" s="141"/>
      <c r="DD80" s="141"/>
      <c r="DE80" s="141"/>
      <c r="DF80" s="141"/>
      <c r="DG80" s="141"/>
      <c r="DH80" s="141"/>
      <c r="DI80" s="141"/>
      <c r="DJ80" s="141"/>
      <c r="DK80" s="141"/>
      <c r="DL80" s="141"/>
      <c r="DM80" s="141"/>
      <c r="DN80" s="141"/>
      <c r="DO80" s="141"/>
      <c r="DP80" s="141"/>
      <c r="DQ80" s="141"/>
      <c r="DR80" s="141"/>
      <c r="DS80" s="141"/>
      <c r="DT80" s="141"/>
      <c r="DU80" s="141"/>
      <c r="DV80" s="141"/>
      <c r="DW80" s="141"/>
      <c r="DX80" s="141"/>
      <c r="DY80" s="141"/>
      <c r="DZ80" s="141"/>
      <c r="EA80" s="141"/>
      <c r="EB80" s="141"/>
      <c r="EC80" s="141"/>
      <c r="ED80" s="141"/>
      <c r="EE80" s="141"/>
      <c r="EF80" s="141"/>
      <c r="EG80" s="141"/>
      <c r="EH80" s="141"/>
      <c r="EI80" s="141"/>
      <c r="EJ80" s="141"/>
      <c r="EK80" s="141"/>
      <c r="EL80" s="141"/>
      <c r="EM80" s="141"/>
      <c r="EN80" s="141"/>
      <c r="EO80" s="141"/>
      <c r="EP80" s="141"/>
      <c r="EQ80" s="141"/>
      <c r="ER80" s="141"/>
      <c r="ES80" s="141"/>
      <c r="ET80" s="141"/>
      <c r="EU80" s="141"/>
      <c r="EV80" s="141"/>
      <c r="EW80" s="141"/>
      <c r="EX80" s="141"/>
      <c r="EY80" s="141"/>
      <c r="EZ80" s="141"/>
      <c r="FA80" s="141"/>
      <c r="FB80" s="141"/>
      <c r="FC80" s="141"/>
      <c r="FD80" s="141"/>
      <c r="FE80" s="141"/>
      <c r="FF80" s="141"/>
      <c r="FG80" s="141"/>
      <c r="FH80" s="141"/>
      <c r="FI80" s="141"/>
      <c r="FJ80" s="141"/>
      <c r="FK80" s="141"/>
      <c r="FL80" s="141"/>
      <c r="FM80" s="141"/>
      <c r="FN80" s="141"/>
      <c r="FO80" s="141"/>
      <c r="FP80" s="141"/>
      <c r="FQ80" s="141"/>
      <c r="FR80" s="141"/>
      <c r="FS80" s="141"/>
      <c r="FT80" s="141"/>
      <c r="FU80" s="141"/>
      <c r="FV80" s="141"/>
      <c r="FW80" s="141"/>
      <c r="FX80" s="141"/>
      <c r="FY80" s="141"/>
      <c r="FZ80" s="141"/>
      <c r="GA80" s="141"/>
      <c r="GB80" s="141"/>
      <c r="GC80" s="141"/>
      <c r="GD80" s="141"/>
      <c r="GE80" s="141"/>
      <c r="GF80" s="141"/>
      <c r="GG80" s="141"/>
      <c r="GH80" s="141"/>
      <c r="GI80" s="141"/>
      <c r="GJ80" s="141"/>
      <c r="GK80" s="141"/>
      <c r="GL80" s="141"/>
      <c r="GM80" s="141"/>
      <c r="GN80" s="141"/>
      <c r="GO80" s="141"/>
      <c r="GP80" s="141"/>
      <c r="GQ80" s="141"/>
      <c r="GR80" s="141"/>
      <c r="GS80" s="141"/>
      <c r="GT80" s="141"/>
      <c r="GU80" s="141"/>
      <c r="GV80" s="141"/>
      <c r="GW80" s="141"/>
      <c r="GX80" s="141"/>
      <c r="GY80" s="141"/>
      <c r="GZ80" s="141"/>
      <c r="HA80" s="141"/>
      <c r="HB80" s="141"/>
      <c r="HC80" s="141"/>
      <c r="HD80" s="141"/>
      <c r="HE80" s="141"/>
      <c r="HF80" s="141"/>
      <c r="HG80" s="141"/>
      <c r="HH80" s="141"/>
      <c r="HI80" s="141"/>
      <c r="HJ80" s="141"/>
      <c r="HK80" s="141"/>
      <c r="HL80" s="141"/>
      <c r="HM80" s="141"/>
      <c r="HN80" s="141"/>
      <c r="HO80" s="141"/>
      <c r="HP80" s="141"/>
      <c r="HQ80" s="141"/>
      <c r="HR80" s="141"/>
      <c r="HS80" s="141"/>
      <c r="HT80" s="141"/>
      <c r="HU80" s="141"/>
      <c r="HV80" s="141"/>
      <c r="HW80" s="141"/>
      <c r="HX80" s="141"/>
      <c r="HY80" s="141"/>
      <c r="HZ80" s="141"/>
    </row>
    <row r="81" spans="1:234" s="142" customFormat="1" ht="12.75" customHeight="1" x14ac:dyDescent="0.3">
      <c r="A81" s="140"/>
      <c r="B81" s="197" t="s">
        <v>104</v>
      </c>
      <c r="C81" s="198" t="s">
        <v>94</v>
      </c>
      <c r="D81" s="199">
        <v>100</v>
      </c>
      <c r="E81" s="198" t="s">
        <v>84</v>
      </c>
      <c r="F81" s="200">
        <f>598*1.19</f>
        <v>711.62</v>
      </c>
      <c r="G81" s="200">
        <f t="shared" si="3"/>
        <v>71162</v>
      </c>
      <c r="H81" s="193"/>
      <c r="I81" s="203"/>
      <c r="J81" s="141"/>
      <c r="K81" s="141"/>
      <c r="L81" s="141"/>
      <c r="M81" s="141"/>
      <c r="N81" s="141"/>
      <c r="O81" s="141"/>
      <c r="P81" s="141"/>
      <c r="Q81" s="141"/>
      <c r="R81" s="141"/>
      <c r="S81" s="141"/>
      <c r="T81" s="141"/>
      <c r="U81" s="141"/>
      <c r="V81" s="141"/>
      <c r="W81" s="141"/>
      <c r="X81" s="141"/>
      <c r="Y81" s="141"/>
      <c r="Z81" s="141"/>
      <c r="AA81" s="141"/>
      <c r="AB81" s="141"/>
      <c r="AC81" s="141"/>
      <c r="AD81" s="141"/>
      <c r="AE81" s="141"/>
      <c r="AF81" s="141"/>
      <c r="AG81" s="141"/>
      <c r="AH81" s="141"/>
      <c r="AI81" s="141"/>
      <c r="AJ81" s="141"/>
      <c r="AK81" s="141"/>
      <c r="AL81" s="141"/>
      <c r="AM81" s="141"/>
      <c r="AN81" s="141"/>
      <c r="AO81" s="141"/>
      <c r="AP81" s="141"/>
      <c r="AQ81" s="141"/>
      <c r="AR81" s="141"/>
      <c r="AS81" s="141"/>
      <c r="AT81" s="141"/>
      <c r="AU81" s="141"/>
      <c r="AV81" s="141"/>
      <c r="AW81" s="141"/>
      <c r="AX81" s="141"/>
      <c r="AY81" s="141"/>
      <c r="AZ81" s="141"/>
      <c r="BA81" s="141"/>
      <c r="BB81" s="141"/>
      <c r="BC81" s="141"/>
      <c r="BD81" s="141"/>
      <c r="BE81" s="141"/>
      <c r="BF81" s="141"/>
      <c r="BG81" s="141"/>
      <c r="BH81" s="141"/>
      <c r="BI81" s="141"/>
      <c r="BJ81" s="141"/>
      <c r="BK81" s="141"/>
      <c r="BL81" s="141"/>
      <c r="BM81" s="141"/>
      <c r="BN81" s="141"/>
      <c r="BO81" s="141"/>
      <c r="BP81" s="141"/>
      <c r="BQ81" s="141"/>
      <c r="BR81" s="141"/>
      <c r="BS81" s="141"/>
      <c r="BT81" s="141"/>
      <c r="BU81" s="141"/>
      <c r="BV81" s="141"/>
      <c r="BW81" s="141"/>
      <c r="BX81" s="141"/>
      <c r="BY81" s="141"/>
      <c r="BZ81" s="141"/>
      <c r="CA81" s="141"/>
      <c r="CB81" s="141"/>
      <c r="CC81" s="141"/>
      <c r="CD81" s="141"/>
      <c r="CE81" s="141"/>
      <c r="CF81" s="141"/>
      <c r="CG81" s="141"/>
      <c r="CH81" s="141"/>
      <c r="CI81" s="141"/>
      <c r="CJ81" s="141"/>
      <c r="CK81" s="141"/>
      <c r="CL81" s="141"/>
      <c r="CM81" s="141"/>
      <c r="CN81" s="141"/>
      <c r="CO81" s="141"/>
      <c r="CP81" s="141"/>
      <c r="CQ81" s="141"/>
      <c r="CR81" s="141"/>
      <c r="CS81" s="141"/>
      <c r="CT81" s="141"/>
      <c r="CU81" s="141"/>
      <c r="CV81" s="141"/>
      <c r="CW81" s="141"/>
      <c r="CX81" s="141"/>
      <c r="CY81" s="141"/>
      <c r="CZ81" s="141"/>
      <c r="DA81" s="141"/>
      <c r="DB81" s="141"/>
      <c r="DC81" s="141"/>
      <c r="DD81" s="141"/>
      <c r="DE81" s="141"/>
      <c r="DF81" s="141"/>
      <c r="DG81" s="141"/>
      <c r="DH81" s="141"/>
      <c r="DI81" s="141"/>
      <c r="DJ81" s="141"/>
      <c r="DK81" s="141"/>
      <c r="DL81" s="141"/>
      <c r="DM81" s="141"/>
      <c r="DN81" s="141"/>
      <c r="DO81" s="141"/>
      <c r="DP81" s="141"/>
      <c r="DQ81" s="141"/>
      <c r="DR81" s="141"/>
      <c r="DS81" s="141"/>
      <c r="DT81" s="141"/>
      <c r="DU81" s="141"/>
      <c r="DV81" s="141"/>
      <c r="DW81" s="141"/>
      <c r="DX81" s="141"/>
      <c r="DY81" s="141"/>
      <c r="DZ81" s="141"/>
      <c r="EA81" s="141"/>
      <c r="EB81" s="141"/>
      <c r="EC81" s="141"/>
      <c r="ED81" s="141"/>
      <c r="EE81" s="141"/>
      <c r="EF81" s="141"/>
      <c r="EG81" s="141"/>
      <c r="EH81" s="141"/>
      <c r="EI81" s="141"/>
      <c r="EJ81" s="141"/>
      <c r="EK81" s="141"/>
      <c r="EL81" s="141"/>
      <c r="EM81" s="141"/>
      <c r="EN81" s="141"/>
      <c r="EO81" s="141"/>
      <c r="EP81" s="141"/>
      <c r="EQ81" s="141"/>
      <c r="ER81" s="141"/>
      <c r="ES81" s="141"/>
      <c r="ET81" s="141"/>
      <c r="EU81" s="141"/>
      <c r="EV81" s="141"/>
      <c r="EW81" s="141"/>
      <c r="EX81" s="141"/>
      <c r="EY81" s="141"/>
      <c r="EZ81" s="141"/>
      <c r="FA81" s="141"/>
      <c r="FB81" s="141"/>
      <c r="FC81" s="141"/>
      <c r="FD81" s="141"/>
      <c r="FE81" s="141"/>
      <c r="FF81" s="141"/>
      <c r="FG81" s="141"/>
      <c r="FH81" s="141"/>
      <c r="FI81" s="141"/>
      <c r="FJ81" s="141"/>
      <c r="FK81" s="141"/>
      <c r="FL81" s="141"/>
      <c r="FM81" s="141"/>
      <c r="FN81" s="141"/>
      <c r="FO81" s="141"/>
      <c r="FP81" s="141"/>
      <c r="FQ81" s="141"/>
      <c r="FR81" s="141"/>
      <c r="FS81" s="141"/>
      <c r="FT81" s="141"/>
      <c r="FU81" s="141"/>
      <c r="FV81" s="141"/>
      <c r="FW81" s="141"/>
      <c r="FX81" s="141"/>
      <c r="FY81" s="141"/>
      <c r="FZ81" s="141"/>
      <c r="GA81" s="141"/>
      <c r="GB81" s="141"/>
      <c r="GC81" s="141"/>
      <c r="GD81" s="141"/>
      <c r="GE81" s="141"/>
      <c r="GF81" s="141"/>
      <c r="GG81" s="141"/>
      <c r="GH81" s="141"/>
      <c r="GI81" s="141"/>
      <c r="GJ81" s="141"/>
      <c r="GK81" s="141"/>
      <c r="GL81" s="141"/>
      <c r="GM81" s="141"/>
      <c r="GN81" s="141"/>
      <c r="GO81" s="141"/>
      <c r="GP81" s="141"/>
      <c r="GQ81" s="141"/>
      <c r="GR81" s="141"/>
      <c r="GS81" s="141"/>
      <c r="GT81" s="141"/>
      <c r="GU81" s="141"/>
      <c r="GV81" s="141"/>
      <c r="GW81" s="141"/>
      <c r="GX81" s="141"/>
      <c r="GY81" s="141"/>
      <c r="GZ81" s="141"/>
      <c r="HA81" s="141"/>
      <c r="HB81" s="141"/>
      <c r="HC81" s="141"/>
      <c r="HD81" s="141"/>
      <c r="HE81" s="141"/>
      <c r="HF81" s="141"/>
      <c r="HG81" s="141"/>
      <c r="HH81" s="141"/>
      <c r="HI81" s="141"/>
      <c r="HJ81" s="141"/>
      <c r="HK81" s="141"/>
      <c r="HL81" s="141"/>
      <c r="HM81" s="141"/>
      <c r="HN81" s="141"/>
      <c r="HO81" s="141"/>
      <c r="HP81" s="141"/>
      <c r="HQ81" s="141"/>
      <c r="HR81" s="141"/>
      <c r="HS81" s="141"/>
      <c r="HT81" s="141"/>
      <c r="HU81" s="141"/>
      <c r="HV81" s="141"/>
      <c r="HW81" s="141"/>
      <c r="HX81" s="141"/>
      <c r="HY81" s="141"/>
      <c r="HZ81" s="141"/>
    </row>
    <row r="82" spans="1:234" s="142" customFormat="1" ht="12.75" customHeight="1" x14ac:dyDescent="0.3">
      <c r="A82" s="140"/>
      <c r="B82" s="197" t="s">
        <v>105</v>
      </c>
      <c r="C82" s="198" t="s">
        <v>94</v>
      </c>
      <c r="D82" s="199">
        <v>100</v>
      </c>
      <c r="E82" s="198" t="s">
        <v>84</v>
      </c>
      <c r="F82" s="200">
        <f>1610*1.19</f>
        <v>1915.8999999999999</v>
      </c>
      <c r="G82" s="200">
        <f t="shared" si="3"/>
        <v>191590</v>
      </c>
      <c r="H82" s="193"/>
      <c r="I82" s="193"/>
      <c r="J82" s="141"/>
      <c r="K82" s="141"/>
      <c r="L82" s="141"/>
      <c r="M82" s="141"/>
      <c r="N82" s="141"/>
      <c r="O82" s="141"/>
      <c r="P82" s="141"/>
      <c r="Q82" s="141"/>
      <c r="R82" s="141"/>
      <c r="S82" s="141"/>
      <c r="T82" s="141"/>
      <c r="U82" s="141"/>
      <c r="V82" s="141"/>
      <c r="W82" s="141"/>
      <c r="X82" s="141"/>
      <c r="Y82" s="141"/>
      <c r="Z82" s="141"/>
      <c r="AA82" s="141"/>
      <c r="AB82" s="141"/>
      <c r="AC82" s="141"/>
      <c r="AD82" s="141"/>
      <c r="AE82" s="141"/>
      <c r="AF82" s="141"/>
      <c r="AG82" s="141"/>
      <c r="AH82" s="141"/>
      <c r="AI82" s="141"/>
      <c r="AJ82" s="141"/>
      <c r="AK82" s="141"/>
      <c r="AL82" s="141"/>
      <c r="AM82" s="141"/>
      <c r="AN82" s="141"/>
      <c r="AO82" s="141"/>
      <c r="AP82" s="141"/>
      <c r="AQ82" s="141"/>
      <c r="AR82" s="141"/>
      <c r="AS82" s="141"/>
      <c r="AT82" s="141"/>
      <c r="AU82" s="141"/>
      <c r="AV82" s="141"/>
      <c r="AW82" s="141"/>
      <c r="AX82" s="141"/>
      <c r="AY82" s="141"/>
      <c r="AZ82" s="141"/>
      <c r="BA82" s="141"/>
      <c r="BB82" s="141"/>
      <c r="BC82" s="141"/>
      <c r="BD82" s="141"/>
      <c r="BE82" s="141"/>
      <c r="BF82" s="141"/>
      <c r="BG82" s="141"/>
      <c r="BH82" s="141"/>
      <c r="BI82" s="141"/>
      <c r="BJ82" s="141"/>
      <c r="BK82" s="141"/>
      <c r="BL82" s="141"/>
      <c r="BM82" s="141"/>
      <c r="BN82" s="141"/>
      <c r="BO82" s="141"/>
      <c r="BP82" s="141"/>
      <c r="BQ82" s="141"/>
      <c r="BR82" s="141"/>
      <c r="BS82" s="141"/>
      <c r="BT82" s="141"/>
      <c r="BU82" s="141"/>
      <c r="BV82" s="141"/>
      <c r="BW82" s="141"/>
      <c r="BX82" s="141"/>
      <c r="BY82" s="141"/>
      <c r="BZ82" s="141"/>
      <c r="CA82" s="141"/>
      <c r="CB82" s="141"/>
      <c r="CC82" s="141"/>
      <c r="CD82" s="141"/>
      <c r="CE82" s="141"/>
      <c r="CF82" s="141"/>
      <c r="CG82" s="141"/>
      <c r="CH82" s="141"/>
      <c r="CI82" s="141"/>
      <c r="CJ82" s="141"/>
      <c r="CK82" s="141"/>
      <c r="CL82" s="141"/>
      <c r="CM82" s="141"/>
      <c r="CN82" s="141"/>
      <c r="CO82" s="141"/>
      <c r="CP82" s="141"/>
      <c r="CQ82" s="141"/>
      <c r="CR82" s="141"/>
      <c r="CS82" s="141"/>
      <c r="CT82" s="141"/>
      <c r="CU82" s="141"/>
      <c r="CV82" s="141"/>
      <c r="CW82" s="141"/>
      <c r="CX82" s="141"/>
      <c r="CY82" s="141"/>
      <c r="CZ82" s="141"/>
      <c r="DA82" s="141"/>
      <c r="DB82" s="141"/>
      <c r="DC82" s="141"/>
      <c r="DD82" s="141"/>
      <c r="DE82" s="141"/>
      <c r="DF82" s="141"/>
      <c r="DG82" s="141"/>
      <c r="DH82" s="141"/>
      <c r="DI82" s="141"/>
      <c r="DJ82" s="141"/>
      <c r="DK82" s="141"/>
      <c r="DL82" s="141"/>
      <c r="DM82" s="141"/>
      <c r="DN82" s="141"/>
      <c r="DO82" s="141"/>
      <c r="DP82" s="141"/>
      <c r="DQ82" s="141"/>
      <c r="DR82" s="141"/>
      <c r="DS82" s="141"/>
      <c r="DT82" s="141"/>
      <c r="DU82" s="141"/>
      <c r="DV82" s="141"/>
      <c r="DW82" s="141"/>
      <c r="DX82" s="141"/>
      <c r="DY82" s="141"/>
      <c r="DZ82" s="141"/>
      <c r="EA82" s="141"/>
      <c r="EB82" s="141"/>
      <c r="EC82" s="141"/>
      <c r="ED82" s="141"/>
      <c r="EE82" s="141"/>
      <c r="EF82" s="141"/>
      <c r="EG82" s="141"/>
      <c r="EH82" s="141"/>
      <c r="EI82" s="141"/>
      <c r="EJ82" s="141"/>
      <c r="EK82" s="141"/>
      <c r="EL82" s="141"/>
      <c r="EM82" s="141"/>
      <c r="EN82" s="141"/>
      <c r="EO82" s="141"/>
      <c r="EP82" s="141"/>
      <c r="EQ82" s="141"/>
      <c r="ER82" s="141"/>
      <c r="ES82" s="141"/>
      <c r="ET82" s="141"/>
      <c r="EU82" s="141"/>
      <c r="EV82" s="141"/>
      <c r="EW82" s="141"/>
      <c r="EX82" s="141"/>
      <c r="EY82" s="141"/>
      <c r="EZ82" s="141"/>
      <c r="FA82" s="141"/>
      <c r="FB82" s="141"/>
      <c r="FC82" s="141"/>
      <c r="FD82" s="141"/>
      <c r="FE82" s="141"/>
      <c r="FF82" s="141"/>
      <c r="FG82" s="141"/>
      <c r="FH82" s="141"/>
      <c r="FI82" s="141"/>
      <c r="FJ82" s="141"/>
      <c r="FK82" s="141"/>
      <c r="FL82" s="141"/>
      <c r="FM82" s="141"/>
      <c r="FN82" s="141"/>
      <c r="FO82" s="141"/>
      <c r="FP82" s="141"/>
      <c r="FQ82" s="141"/>
      <c r="FR82" s="141"/>
      <c r="FS82" s="141"/>
      <c r="FT82" s="141"/>
      <c r="FU82" s="141"/>
      <c r="FV82" s="141"/>
      <c r="FW82" s="141"/>
      <c r="FX82" s="141"/>
      <c r="FY82" s="141"/>
      <c r="FZ82" s="141"/>
      <c r="GA82" s="141"/>
      <c r="GB82" s="141"/>
      <c r="GC82" s="141"/>
      <c r="GD82" s="141"/>
      <c r="GE82" s="141"/>
      <c r="GF82" s="141"/>
      <c r="GG82" s="141"/>
      <c r="GH82" s="141"/>
      <c r="GI82" s="141"/>
      <c r="GJ82" s="141"/>
      <c r="GK82" s="141"/>
      <c r="GL82" s="141"/>
      <c r="GM82" s="141"/>
      <c r="GN82" s="141"/>
      <c r="GO82" s="141"/>
      <c r="GP82" s="141"/>
      <c r="GQ82" s="141"/>
      <c r="GR82" s="141"/>
      <c r="GS82" s="141"/>
      <c r="GT82" s="141"/>
      <c r="GU82" s="141"/>
      <c r="GV82" s="141"/>
      <c r="GW82" s="141"/>
      <c r="GX82" s="141"/>
      <c r="GY82" s="141"/>
      <c r="GZ82" s="141"/>
      <c r="HA82" s="141"/>
      <c r="HB82" s="141"/>
      <c r="HC82" s="141"/>
      <c r="HD82" s="141"/>
      <c r="HE82" s="141"/>
      <c r="HF82" s="141"/>
      <c r="HG82" s="141"/>
      <c r="HH82" s="141"/>
      <c r="HI82" s="141"/>
      <c r="HJ82" s="141"/>
      <c r="HK82" s="141"/>
      <c r="HL82" s="141"/>
      <c r="HM82" s="141"/>
      <c r="HN82" s="141"/>
      <c r="HO82" s="141"/>
      <c r="HP82" s="141"/>
      <c r="HQ82" s="141"/>
      <c r="HR82" s="141"/>
      <c r="HS82" s="141"/>
      <c r="HT82" s="141"/>
      <c r="HU82" s="141"/>
      <c r="HV82" s="141"/>
      <c r="HW82" s="141"/>
      <c r="HX82" s="141"/>
      <c r="HY82" s="141"/>
      <c r="HZ82" s="141"/>
    </row>
    <row r="83" spans="1:234" s="142" customFormat="1" ht="12.75" customHeight="1" x14ac:dyDescent="0.3">
      <c r="A83" s="140"/>
      <c r="B83" s="197" t="s">
        <v>106</v>
      </c>
      <c r="C83" s="198" t="s">
        <v>94</v>
      </c>
      <c r="D83" s="199">
        <v>100</v>
      </c>
      <c r="E83" s="198" t="s">
        <v>84</v>
      </c>
      <c r="F83" s="200">
        <f>1610*1.19</f>
        <v>1915.8999999999999</v>
      </c>
      <c r="G83" s="200">
        <f t="shared" si="3"/>
        <v>191590</v>
      </c>
      <c r="H83" s="193"/>
      <c r="I83" s="193"/>
      <c r="J83" s="141"/>
      <c r="K83" s="141"/>
      <c r="L83" s="141"/>
      <c r="M83" s="141"/>
      <c r="N83" s="141"/>
      <c r="O83" s="141"/>
      <c r="P83" s="141"/>
      <c r="Q83" s="141"/>
      <c r="R83" s="141"/>
      <c r="S83" s="141"/>
      <c r="T83" s="141"/>
      <c r="U83" s="141"/>
      <c r="V83" s="141"/>
      <c r="W83" s="141"/>
      <c r="X83" s="141"/>
      <c r="Y83" s="141"/>
      <c r="Z83" s="141"/>
      <c r="AA83" s="141"/>
      <c r="AB83" s="141"/>
      <c r="AC83" s="141"/>
      <c r="AD83" s="141"/>
      <c r="AE83" s="141"/>
      <c r="AF83" s="141"/>
      <c r="AG83" s="141"/>
      <c r="AH83" s="141"/>
      <c r="AI83" s="141"/>
      <c r="AJ83" s="141"/>
      <c r="AK83" s="141"/>
      <c r="AL83" s="141"/>
      <c r="AM83" s="141"/>
      <c r="AN83" s="141"/>
      <c r="AO83" s="141"/>
      <c r="AP83" s="141"/>
      <c r="AQ83" s="141"/>
      <c r="AR83" s="141"/>
      <c r="AS83" s="141"/>
      <c r="AT83" s="141"/>
      <c r="AU83" s="141"/>
      <c r="AV83" s="141"/>
      <c r="AW83" s="141"/>
      <c r="AX83" s="141"/>
      <c r="AY83" s="141"/>
      <c r="AZ83" s="141"/>
      <c r="BA83" s="141"/>
      <c r="BB83" s="141"/>
      <c r="BC83" s="141"/>
      <c r="BD83" s="141"/>
      <c r="BE83" s="141"/>
      <c r="BF83" s="141"/>
      <c r="BG83" s="141"/>
      <c r="BH83" s="141"/>
      <c r="BI83" s="141"/>
      <c r="BJ83" s="141"/>
      <c r="BK83" s="141"/>
      <c r="BL83" s="141"/>
      <c r="BM83" s="141"/>
      <c r="BN83" s="141"/>
      <c r="BO83" s="141"/>
      <c r="BP83" s="141"/>
      <c r="BQ83" s="141"/>
      <c r="BR83" s="141"/>
      <c r="BS83" s="141"/>
      <c r="BT83" s="141"/>
      <c r="BU83" s="141"/>
      <c r="BV83" s="141"/>
      <c r="BW83" s="141"/>
      <c r="BX83" s="141"/>
      <c r="BY83" s="141"/>
      <c r="BZ83" s="141"/>
      <c r="CA83" s="141"/>
      <c r="CB83" s="141"/>
      <c r="CC83" s="141"/>
      <c r="CD83" s="141"/>
      <c r="CE83" s="141"/>
      <c r="CF83" s="141"/>
      <c r="CG83" s="141"/>
      <c r="CH83" s="141"/>
      <c r="CI83" s="141"/>
      <c r="CJ83" s="141"/>
      <c r="CK83" s="141"/>
      <c r="CL83" s="141"/>
      <c r="CM83" s="141"/>
      <c r="CN83" s="141"/>
      <c r="CO83" s="141"/>
      <c r="CP83" s="141"/>
      <c r="CQ83" s="141"/>
      <c r="CR83" s="141"/>
      <c r="CS83" s="141"/>
      <c r="CT83" s="141"/>
      <c r="CU83" s="141"/>
      <c r="CV83" s="141"/>
      <c r="CW83" s="141"/>
      <c r="CX83" s="141"/>
      <c r="CY83" s="141"/>
      <c r="CZ83" s="141"/>
      <c r="DA83" s="141"/>
      <c r="DB83" s="141"/>
      <c r="DC83" s="141"/>
      <c r="DD83" s="141"/>
      <c r="DE83" s="141"/>
      <c r="DF83" s="141"/>
      <c r="DG83" s="141"/>
      <c r="DH83" s="141"/>
      <c r="DI83" s="141"/>
      <c r="DJ83" s="141"/>
      <c r="DK83" s="141"/>
      <c r="DL83" s="141"/>
      <c r="DM83" s="141"/>
      <c r="DN83" s="141"/>
      <c r="DO83" s="141"/>
      <c r="DP83" s="141"/>
      <c r="DQ83" s="141"/>
      <c r="DR83" s="141"/>
      <c r="DS83" s="141"/>
      <c r="DT83" s="141"/>
      <c r="DU83" s="141"/>
      <c r="DV83" s="141"/>
      <c r="DW83" s="141"/>
      <c r="DX83" s="141"/>
      <c r="DY83" s="141"/>
      <c r="DZ83" s="141"/>
      <c r="EA83" s="141"/>
      <c r="EB83" s="141"/>
      <c r="EC83" s="141"/>
      <c r="ED83" s="141"/>
      <c r="EE83" s="141"/>
      <c r="EF83" s="141"/>
      <c r="EG83" s="141"/>
      <c r="EH83" s="141"/>
      <c r="EI83" s="141"/>
      <c r="EJ83" s="141"/>
      <c r="EK83" s="141"/>
      <c r="EL83" s="141"/>
      <c r="EM83" s="141"/>
      <c r="EN83" s="141"/>
      <c r="EO83" s="141"/>
      <c r="EP83" s="141"/>
      <c r="EQ83" s="141"/>
      <c r="ER83" s="141"/>
      <c r="ES83" s="141"/>
      <c r="ET83" s="141"/>
      <c r="EU83" s="141"/>
      <c r="EV83" s="141"/>
      <c r="EW83" s="141"/>
      <c r="EX83" s="141"/>
      <c r="EY83" s="141"/>
      <c r="EZ83" s="141"/>
      <c r="FA83" s="141"/>
      <c r="FB83" s="141"/>
      <c r="FC83" s="141"/>
      <c r="FD83" s="141"/>
      <c r="FE83" s="141"/>
      <c r="FF83" s="141"/>
      <c r="FG83" s="141"/>
      <c r="FH83" s="141"/>
      <c r="FI83" s="141"/>
      <c r="FJ83" s="141"/>
      <c r="FK83" s="141"/>
      <c r="FL83" s="141"/>
      <c r="FM83" s="141"/>
      <c r="FN83" s="141"/>
      <c r="FO83" s="141"/>
      <c r="FP83" s="141"/>
      <c r="FQ83" s="141"/>
      <c r="FR83" s="141"/>
      <c r="FS83" s="141"/>
      <c r="FT83" s="141"/>
      <c r="FU83" s="141"/>
      <c r="FV83" s="141"/>
      <c r="FW83" s="141"/>
      <c r="FX83" s="141"/>
      <c r="FY83" s="141"/>
      <c r="FZ83" s="141"/>
      <c r="GA83" s="141"/>
      <c r="GB83" s="141"/>
      <c r="GC83" s="141"/>
      <c r="GD83" s="141"/>
      <c r="GE83" s="141"/>
      <c r="GF83" s="141"/>
      <c r="GG83" s="141"/>
      <c r="GH83" s="141"/>
      <c r="GI83" s="141"/>
      <c r="GJ83" s="141"/>
      <c r="GK83" s="141"/>
      <c r="GL83" s="141"/>
      <c r="GM83" s="141"/>
      <c r="GN83" s="141"/>
      <c r="GO83" s="141"/>
      <c r="GP83" s="141"/>
      <c r="GQ83" s="141"/>
      <c r="GR83" s="141"/>
      <c r="GS83" s="141"/>
      <c r="GT83" s="141"/>
      <c r="GU83" s="141"/>
      <c r="GV83" s="141"/>
      <c r="GW83" s="141"/>
      <c r="GX83" s="141"/>
      <c r="GY83" s="141"/>
      <c r="GZ83" s="141"/>
      <c r="HA83" s="141"/>
      <c r="HB83" s="141"/>
      <c r="HC83" s="141"/>
      <c r="HD83" s="141"/>
      <c r="HE83" s="141"/>
      <c r="HF83" s="141"/>
      <c r="HG83" s="141"/>
      <c r="HH83" s="141"/>
      <c r="HI83" s="141"/>
      <c r="HJ83" s="141"/>
      <c r="HK83" s="141"/>
      <c r="HL83" s="141"/>
      <c r="HM83" s="141"/>
      <c r="HN83" s="141"/>
      <c r="HO83" s="141"/>
      <c r="HP83" s="141"/>
      <c r="HQ83" s="141"/>
      <c r="HR83" s="141"/>
      <c r="HS83" s="141"/>
      <c r="HT83" s="141"/>
      <c r="HU83" s="141"/>
      <c r="HV83" s="141"/>
      <c r="HW83" s="141"/>
      <c r="HX83" s="141"/>
      <c r="HY83" s="141"/>
      <c r="HZ83" s="141"/>
    </row>
    <row r="84" spans="1:234" s="142" customFormat="1" ht="12.75" customHeight="1" x14ac:dyDescent="0.3">
      <c r="A84" s="140"/>
      <c r="B84" s="197" t="s">
        <v>107</v>
      </c>
      <c r="C84" s="198" t="s">
        <v>94</v>
      </c>
      <c r="D84" s="199">
        <v>200</v>
      </c>
      <c r="E84" s="198" t="s">
        <v>84</v>
      </c>
      <c r="F84" s="200">
        <v>1677</v>
      </c>
      <c r="G84" s="200">
        <f t="shared" si="3"/>
        <v>335400</v>
      </c>
      <c r="H84" s="193"/>
      <c r="I84" s="203"/>
      <c r="J84" s="141"/>
      <c r="K84" s="141"/>
      <c r="L84" s="141"/>
      <c r="M84" s="141"/>
      <c r="N84" s="141"/>
      <c r="O84" s="141"/>
      <c r="P84" s="141"/>
      <c r="Q84" s="141"/>
      <c r="R84" s="141"/>
      <c r="S84" s="141"/>
      <c r="T84" s="141"/>
      <c r="U84" s="141"/>
      <c r="V84" s="141"/>
      <c r="W84" s="141"/>
      <c r="X84" s="141"/>
      <c r="Y84" s="141"/>
      <c r="Z84" s="141"/>
      <c r="AA84" s="141"/>
      <c r="AB84" s="141"/>
      <c r="AC84" s="141"/>
      <c r="AD84" s="141"/>
      <c r="AE84" s="141"/>
      <c r="AF84" s="141"/>
      <c r="AG84" s="141"/>
      <c r="AH84" s="141"/>
      <c r="AI84" s="141"/>
      <c r="AJ84" s="141"/>
      <c r="AK84" s="141"/>
      <c r="AL84" s="141"/>
      <c r="AM84" s="141"/>
      <c r="AN84" s="141"/>
      <c r="AO84" s="141"/>
      <c r="AP84" s="141"/>
      <c r="AQ84" s="141"/>
      <c r="AR84" s="141"/>
      <c r="AS84" s="141"/>
      <c r="AT84" s="141"/>
      <c r="AU84" s="141"/>
      <c r="AV84" s="141"/>
      <c r="AW84" s="141"/>
      <c r="AX84" s="141"/>
      <c r="AY84" s="141"/>
      <c r="AZ84" s="141"/>
      <c r="BA84" s="141"/>
      <c r="BB84" s="141"/>
      <c r="BC84" s="141"/>
      <c r="BD84" s="141"/>
      <c r="BE84" s="141"/>
      <c r="BF84" s="141"/>
      <c r="BG84" s="141"/>
      <c r="BH84" s="141"/>
      <c r="BI84" s="141"/>
      <c r="BJ84" s="141"/>
      <c r="BK84" s="141"/>
      <c r="BL84" s="141"/>
      <c r="BM84" s="141"/>
      <c r="BN84" s="141"/>
      <c r="BO84" s="141"/>
      <c r="BP84" s="141"/>
      <c r="BQ84" s="141"/>
      <c r="BR84" s="141"/>
      <c r="BS84" s="141"/>
      <c r="BT84" s="141"/>
      <c r="BU84" s="141"/>
      <c r="BV84" s="141"/>
      <c r="BW84" s="141"/>
      <c r="BX84" s="141"/>
      <c r="BY84" s="141"/>
      <c r="BZ84" s="141"/>
      <c r="CA84" s="141"/>
      <c r="CB84" s="141"/>
      <c r="CC84" s="141"/>
      <c r="CD84" s="141"/>
      <c r="CE84" s="141"/>
      <c r="CF84" s="141"/>
      <c r="CG84" s="141"/>
      <c r="CH84" s="141"/>
      <c r="CI84" s="141"/>
      <c r="CJ84" s="141"/>
      <c r="CK84" s="141"/>
      <c r="CL84" s="141"/>
      <c r="CM84" s="141"/>
      <c r="CN84" s="141"/>
      <c r="CO84" s="141"/>
      <c r="CP84" s="141"/>
      <c r="CQ84" s="141"/>
      <c r="CR84" s="141"/>
      <c r="CS84" s="141"/>
      <c r="CT84" s="141"/>
      <c r="CU84" s="141"/>
      <c r="CV84" s="141"/>
      <c r="CW84" s="141"/>
      <c r="CX84" s="141"/>
      <c r="CY84" s="141"/>
      <c r="CZ84" s="141"/>
      <c r="DA84" s="141"/>
      <c r="DB84" s="141"/>
      <c r="DC84" s="141"/>
      <c r="DD84" s="141"/>
      <c r="DE84" s="141"/>
      <c r="DF84" s="141"/>
      <c r="DG84" s="141"/>
      <c r="DH84" s="141"/>
      <c r="DI84" s="141"/>
      <c r="DJ84" s="141"/>
      <c r="DK84" s="141"/>
      <c r="DL84" s="141"/>
      <c r="DM84" s="141"/>
      <c r="DN84" s="141"/>
      <c r="DO84" s="141"/>
      <c r="DP84" s="141"/>
      <c r="DQ84" s="141"/>
      <c r="DR84" s="141"/>
      <c r="DS84" s="141"/>
      <c r="DT84" s="141"/>
      <c r="DU84" s="141"/>
      <c r="DV84" s="141"/>
      <c r="DW84" s="141"/>
      <c r="DX84" s="141"/>
      <c r="DY84" s="141"/>
      <c r="DZ84" s="141"/>
      <c r="EA84" s="141"/>
      <c r="EB84" s="141"/>
      <c r="EC84" s="141"/>
      <c r="ED84" s="141"/>
      <c r="EE84" s="141"/>
      <c r="EF84" s="141"/>
      <c r="EG84" s="141"/>
      <c r="EH84" s="141"/>
      <c r="EI84" s="141"/>
      <c r="EJ84" s="141"/>
      <c r="EK84" s="141"/>
      <c r="EL84" s="141"/>
      <c r="EM84" s="141"/>
      <c r="EN84" s="141"/>
      <c r="EO84" s="141"/>
      <c r="EP84" s="141"/>
      <c r="EQ84" s="141"/>
      <c r="ER84" s="141"/>
      <c r="ES84" s="141"/>
      <c r="ET84" s="141"/>
      <c r="EU84" s="141"/>
      <c r="EV84" s="141"/>
      <c r="EW84" s="141"/>
      <c r="EX84" s="141"/>
      <c r="EY84" s="141"/>
      <c r="EZ84" s="141"/>
      <c r="FA84" s="141"/>
      <c r="FB84" s="141"/>
      <c r="FC84" s="141"/>
      <c r="FD84" s="141"/>
      <c r="FE84" s="141"/>
      <c r="FF84" s="141"/>
      <c r="FG84" s="141"/>
      <c r="FH84" s="141"/>
      <c r="FI84" s="141"/>
      <c r="FJ84" s="141"/>
      <c r="FK84" s="141"/>
      <c r="FL84" s="141"/>
      <c r="FM84" s="141"/>
      <c r="FN84" s="141"/>
      <c r="FO84" s="141"/>
      <c r="FP84" s="141"/>
      <c r="FQ84" s="141"/>
      <c r="FR84" s="141"/>
      <c r="FS84" s="141"/>
      <c r="FT84" s="141"/>
      <c r="FU84" s="141"/>
      <c r="FV84" s="141"/>
      <c r="FW84" s="141"/>
      <c r="FX84" s="141"/>
      <c r="FY84" s="141"/>
      <c r="FZ84" s="141"/>
      <c r="GA84" s="141"/>
      <c r="GB84" s="141"/>
      <c r="GC84" s="141"/>
      <c r="GD84" s="141"/>
      <c r="GE84" s="141"/>
      <c r="GF84" s="141"/>
      <c r="GG84" s="141"/>
      <c r="GH84" s="141"/>
      <c r="GI84" s="141"/>
      <c r="GJ84" s="141"/>
      <c r="GK84" s="141"/>
      <c r="GL84" s="141"/>
      <c r="GM84" s="141"/>
      <c r="GN84" s="141"/>
      <c r="GO84" s="141"/>
      <c r="GP84" s="141"/>
      <c r="GQ84" s="141"/>
      <c r="GR84" s="141"/>
      <c r="GS84" s="141"/>
      <c r="GT84" s="141"/>
      <c r="GU84" s="141"/>
      <c r="GV84" s="141"/>
      <c r="GW84" s="141"/>
      <c r="GX84" s="141"/>
      <c r="GY84" s="141"/>
      <c r="GZ84" s="141"/>
      <c r="HA84" s="141"/>
      <c r="HB84" s="141"/>
      <c r="HC84" s="141"/>
      <c r="HD84" s="141"/>
      <c r="HE84" s="141"/>
      <c r="HF84" s="141"/>
      <c r="HG84" s="141"/>
      <c r="HH84" s="141"/>
      <c r="HI84" s="141"/>
      <c r="HJ84" s="141"/>
      <c r="HK84" s="141"/>
      <c r="HL84" s="141"/>
      <c r="HM84" s="141"/>
      <c r="HN84" s="141"/>
      <c r="HO84" s="141"/>
      <c r="HP84" s="141"/>
      <c r="HQ84" s="141"/>
      <c r="HR84" s="141"/>
      <c r="HS84" s="141"/>
      <c r="HT84" s="141"/>
      <c r="HU84" s="141"/>
      <c r="HV84" s="141"/>
      <c r="HW84" s="141"/>
      <c r="HX84" s="141"/>
      <c r="HY84" s="141"/>
      <c r="HZ84" s="141"/>
    </row>
    <row r="85" spans="1:234" ht="12.75" customHeight="1" x14ac:dyDescent="0.3">
      <c r="A85" s="56"/>
      <c r="B85" s="157" t="s">
        <v>108</v>
      </c>
      <c r="C85" s="151" t="s">
        <v>94</v>
      </c>
      <c r="D85" s="154">
        <v>25</v>
      </c>
      <c r="E85" s="151" t="s">
        <v>84</v>
      </c>
      <c r="F85" s="155">
        <f>358*1.19</f>
        <v>426.02</v>
      </c>
      <c r="G85" s="155">
        <f t="shared" si="3"/>
        <v>10650.5</v>
      </c>
    </row>
    <row r="86" spans="1:234" ht="12.75" customHeight="1" x14ac:dyDescent="0.3">
      <c r="A86" s="56"/>
      <c r="B86" s="157" t="s">
        <v>109</v>
      </c>
      <c r="C86" s="151" t="s">
        <v>94</v>
      </c>
      <c r="D86" s="154">
        <v>25</v>
      </c>
      <c r="E86" s="151" t="s">
        <v>110</v>
      </c>
      <c r="F86" s="155">
        <f>2690*1.19</f>
        <v>3201.1</v>
      </c>
      <c r="G86" s="155">
        <f t="shared" si="3"/>
        <v>80027.5</v>
      </c>
    </row>
    <row r="87" spans="1:234" ht="12.75" customHeight="1" x14ac:dyDescent="0.3">
      <c r="A87" s="56"/>
      <c r="B87" s="157" t="s">
        <v>111</v>
      </c>
      <c r="C87" s="151" t="s">
        <v>138</v>
      </c>
      <c r="D87" s="154">
        <v>20</v>
      </c>
      <c r="E87" s="151" t="s">
        <v>84</v>
      </c>
      <c r="F87" s="155">
        <f>17600*1.19</f>
        <v>20944</v>
      </c>
      <c r="G87" s="155">
        <f t="shared" si="3"/>
        <v>418880</v>
      </c>
      <c r="H87" s="192"/>
    </row>
    <row r="88" spans="1:234" ht="12.75" customHeight="1" x14ac:dyDescent="0.3">
      <c r="A88" s="56"/>
      <c r="B88" s="130" t="s">
        <v>149</v>
      </c>
      <c r="C88" s="92"/>
      <c r="D88" s="94"/>
      <c r="E88" s="92"/>
      <c r="F88" s="95"/>
      <c r="G88" s="95"/>
    </row>
    <row r="89" spans="1:234" ht="12.75" customHeight="1" x14ac:dyDescent="0.3">
      <c r="A89" s="56"/>
      <c r="B89" s="145" t="s">
        <v>129</v>
      </c>
      <c r="C89" s="92"/>
      <c r="D89" s="94"/>
      <c r="E89" s="92"/>
      <c r="F89" s="95"/>
      <c r="G89" s="95"/>
    </row>
    <row r="90" spans="1:234" ht="12.75" customHeight="1" x14ac:dyDescent="0.3">
      <c r="A90" s="56"/>
      <c r="B90" s="182" t="s">
        <v>112</v>
      </c>
      <c r="C90" s="183" t="s">
        <v>94</v>
      </c>
      <c r="D90" s="184">
        <v>0.5</v>
      </c>
      <c r="E90" s="183" t="s">
        <v>84</v>
      </c>
      <c r="F90" s="185">
        <f>142000*1.19</f>
        <v>168980</v>
      </c>
      <c r="G90" s="185">
        <f>D90*F90</f>
        <v>84490</v>
      </c>
    </row>
    <row r="91" spans="1:234" ht="12.75" customHeight="1" x14ac:dyDescent="0.3">
      <c r="A91" s="56"/>
      <c r="B91" s="182" t="s">
        <v>113</v>
      </c>
      <c r="C91" s="183" t="s">
        <v>94</v>
      </c>
      <c r="D91" s="184">
        <v>0.5</v>
      </c>
      <c r="E91" s="183" t="s">
        <v>84</v>
      </c>
      <c r="F91" s="185">
        <f>37699*1.19*5</f>
        <v>224309.05</v>
      </c>
      <c r="G91" s="185">
        <f t="shared" si="3"/>
        <v>112154.52499999999</v>
      </c>
    </row>
    <row r="92" spans="1:234" ht="12.75" customHeight="1" x14ac:dyDescent="0.3">
      <c r="A92" s="56"/>
      <c r="B92" s="182" t="s">
        <v>114</v>
      </c>
      <c r="C92" s="183" t="s">
        <v>94</v>
      </c>
      <c r="D92" s="184">
        <v>0.25</v>
      </c>
      <c r="E92" s="183" t="s">
        <v>84</v>
      </c>
      <c r="F92" s="185">
        <f>210210*1.19</f>
        <v>250149.9</v>
      </c>
      <c r="G92" s="185">
        <f t="shared" si="3"/>
        <v>62537.474999999999</v>
      </c>
    </row>
    <row r="93" spans="1:234" ht="12.75" customHeight="1" x14ac:dyDescent="0.3">
      <c r="A93" s="56"/>
      <c r="B93" s="182" t="s">
        <v>115</v>
      </c>
      <c r="C93" s="183" t="s">
        <v>94</v>
      </c>
      <c r="D93" s="184">
        <v>2</v>
      </c>
      <c r="E93" s="183" t="s">
        <v>84</v>
      </c>
      <c r="F93" s="185">
        <f>17604*1.19*5</f>
        <v>104743.79999999999</v>
      </c>
      <c r="G93" s="185">
        <f t="shared" si="3"/>
        <v>209487.59999999998</v>
      </c>
    </row>
    <row r="94" spans="1:234" ht="12.75" customHeight="1" x14ac:dyDescent="0.3">
      <c r="A94" s="56"/>
      <c r="B94" s="182" t="s">
        <v>153</v>
      </c>
      <c r="C94" s="183" t="s">
        <v>172</v>
      </c>
      <c r="D94" s="184">
        <v>1</v>
      </c>
      <c r="E94" s="183" t="s">
        <v>84</v>
      </c>
      <c r="F94" s="185">
        <v>5500</v>
      </c>
      <c r="G94" s="185">
        <f>D94*F94</f>
        <v>5500</v>
      </c>
    </row>
    <row r="95" spans="1:234" ht="12.75" customHeight="1" x14ac:dyDescent="0.3">
      <c r="A95" s="56"/>
      <c r="B95" s="182" t="s">
        <v>116</v>
      </c>
      <c r="C95" s="183" t="s">
        <v>60</v>
      </c>
      <c r="D95" s="184">
        <v>1</v>
      </c>
      <c r="E95" s="183" t="s">
        <v>84</v>
      </c>
      <c r="F95" s="185">
        <f>50266*1.19</f>
        <v>59816.54</v>
      </c>
      <c r="G95" s="185">
        <f t="shared" si="3"/>
        <v>59816.54</v>
      </c>
      <c r="H95" s="192"/>
    </row>
    <row r="96" spans="1:234" s="142" customFormat="1" ht="12.75" hidden="1" customHeight="1" x14ac:dyDescent="0.3">
      <c r="A96" s="140"/>
      <c r="B96" s="182"/>
      <c r="C96" s="183"/>
      <c r="D96" s="184"/>
      <c r="E96" s="183"/>
      <c r="F96" s="185"/>
      <c r="G96" s="185"/>
      <c r="H96" s="193"/>
      <c r="I96" s="193"/>
      <c r="J96" s="141"/>
      <c r="K96" s="141"/>
      <c r="L96" s="141"/>
      <c r="M96" s="141"/>
      <c r="N96" s="141"/>
      <c r="O96" s="141"/>
      <c r="P96" s="141"/>
      <c r="Q96" s="141"/>
      <c r="R96" s="141"/>
      <c r="S96" s="141"/>
      <c r="T96" s="141"/>
      <c r="U96" s="141"/>
      <c r="V96" s="141"/>
      <c r="W96" s="141"/>
      <c r="X96" s="141"/>
      <c r="Y96" s="141"/>
      <c r="Z96" s="141"/>
      <c r="AA96" s="141"/>
      <c r="AB96" s="141"/>
      <c r="AC96" s="141"/>
      <c r="AD96" s="141"/>
      <c r="AE96" s="141"/>
      <c r="AF96" s="141"/>
      <c r="AG96" s="141"/>
      <c r="AH96" s="141"/>
      <c r="AI96" s="141"/>
      <c r="AJ96" s="141"/>
      <c r="AK96" s="141"/>
      <c r="AL96" s="141"/>
      <c r="AM96" s="141"/>
      <c r="AN96" s="141"/>
      <c r="AO96" s="141"/>
      <c r="AP96" s="141"/>
      <c r="AQ96" s="141"/>
      <c r="AR96" s="141"/>
      <c r="AS96" s="141"/>
      <c r="AT96" s="141"/>
      <c r="AU96" s="141"/>
      <c r="AV96" s="141"/>
      <c r="AW96" s="141"/>
      <c r="AX96" s="141"/>
      <c r="AY96" s="141"/>
      <c r="AZ96" s="141"/>
      <c r="BA96" s="141"/>
      <c r="BB96" s="141"/>
      <c r="BC96" s="141"/>
      <c r="BD96" s="141"/>
      <c r="BE96" s="141"/>
      <c r="BF96" s="141"/>
      <c r="BG96" s="141"/>
      <c r="BH96" s="141"/>
      <c r="BI96" s="141"/>
      <c r="BJ96" s="141"/>
      <c r="BK96" s="141"/>
      <c r="BL96" s="141"/>
      <c r="BM96" s="141"/>
      <c r="BN96" s="141"/>
      <c r="BO96" s="141"/>
      <c r="BP96" s="141"/>
      <c r="BQ96" s="141"/>
      <c r="BR96" s="141"/>
      <c r="BS96" s="141"/>
      <c r="BT96" s="141"/>
      <c r="BU96" s="141"/>
      <c r="BV96" s="141"/>
      <c r="BW96" s="141"/>
      <c r="BX96" s="141"/>
      <c r="BY96" s="141"/>
      <c r="BZ96" s="141"/>
      <c r="CA96" s="141"/>
      <c r="CB96" s="141"/>
      <c r="CC96" s="141"/>
      <c r="CD96" s="141"/>
      <c r="CE96" s="141"/>
      <c r="CF96" s="141"/>
      <c r="CG96" s="141"/>
      <c r="CH96" s="141"/>
      <c r="CI96" s="141"/>
      <c r="CJ96" s="141"/>
      <c r="CK96" s="141"/>
      <c r="CL96" s="141"/>
      <c r="CM96" s="141"/>
      <c r="CN96" s="141"/>
      <c r="CO96" s="141"/>
      <c r="CP96" s="141"/>
      <c r="CQ96" s="141"/>
      <c r="CR96" s="141"/>
      <c r="CS96" s="141"/>
      <c r="CT96" s="141"/>
      <c r="CU96" s="141"/>
      <c r="CV96" s="141"/>
      <c r="CW96" s="141"/>
      <c r="CX96" s="141"/>
      <c r="CY96" s="141"/>
      <c r="CZ96" s="141"/>
      <c r="DA96" s="141"/>
      <c r="DB96" s="141"/>
      <c r="DC96" s="141"/>
      <c r="DD96" s="141"/>
      <c r="DE96" s="141"/>
      <c r="DF96" s="141"/>
      <c r="DG96" s="141"/>
      <c r="DH96" s="141"/>
      <c r="DI96" s="141"/>
      <c r="DJ96" s="141"/>
      <c r="DK96" s="141"/>
      <c r="DL96" s="141"/>
      <c r="DM96" s="141"/>
      <c r="DN96" s="141"/>
      <c r="DO96" s="141"/>
      <c r="DP96" s="141"/>
      <c r="DQ96" s="141"/>
      <c r="DR96" s="141"/>
      <c r="DS96" s="141"/>
      <c r="DT96" s="141"/>
      <c r="DU96" s="141"/>
      <c r="DV96" s="141"/>
      <c r="DW96" s="141"/>
      <c r="DX96" s="141"/>
      <c r="DY96" s="141"/>
      <c r="DZ96" s="141"/>
      <c r="EA96" s="141"/>
      <c r="EB96" s="141"/>
      <c r="EC96" s="141"/>
      <c r="ED96" s="141"/>
      <c r="EE96" s="141"/>
      <c r="EF96" s="141"/>
      <c r="EG96" s="141"/>
      <c r="EH96" s="141"/>
      <c r="EI96" s="141"/>
      <c r="EJ96" s="141"/>
      <c r="EK96" s="141"/>
      <c r="EL96" s="141"/>
      <c r="EM96" s="141"/>
      <c r="EN96" s="141"/>
      <c r="EO96" s="141"/>
      <c r="EP96" s="141"/>
      <c r="EQ96" s="141"/>
      <c r="ER96" s="141"/>
      <c r="ES96" s="141"/>
      <c r="ET96" s="141"/>
      <c r="EU96" s="141"/>
      <c r="EV96" s="141"/>
      <c r="EW96" s="141"/>
      <c r="EX96" s="141"/>
      <c r="EY96" s="141"/>
      <c r="EZ96" s="141"/>
      <c r="FA96" s="141"/>
      <c r="FB96" s="141"/>
      <c r="FC96" s="141"/>
      <c r="FD96" s="141"/>
      <c r="FE96" s="141"/>
      <c r="FF96" s="141"/>
      <c r="FG96" s="141"/>
      <c r="FH96" s="141"/>
      <c r="FI96" s="141"/>
      <c r="FJ96" s="141"/>
      <c r="FK96" s="141"/>
      <c r="FL96" s="141"/>
      <c r="FM96" s="141"/>
      <c r="FN96" s="141"/>
      <c r="FO96" s="141"/>
      <c r="FP96" s="141"/>
      <c r="FQ96" s="141"/>
      <c r="FR96" s="141"/>
      <c r="FS96" s="141"/>
      <c r="FT96" s="141"/>
      <c r="FU96" s="141"/>
      <c r="FV96" s="141"/>
      <c r="FW96" s="141"/>
      <c r="FX96" s="141"/>
      <c r="FY96" s="141"/>
      <c r="FZ96" s="141"/>
      <c r="GA96" s="141"/>
      <c r="GB96" s="141"/>
      <c r="GC96" s="141"/>
      <c r="GD96" s="141"/>
      <c r="GE96" s="141"/>
      <c r="GF96" s="141"/>
      <c r="GG96" s="141"/>
      <c r="GH96" s="141"/>
      <c r="GI96" s="141"/>
      <c r="GJ96" s="141"/>
      <c r="GK96" s="141"/>
      <c r="GL96" s="141"/>
      <c r="GM96" s="141"/>
      <c r="GN96" s="141"/>
      <c r="GO96" s="141"/>
      <c r="GP96" s="141"/>
      <c r="GQ96" s="141"/>
      <c r="GR96" s="141"/>
      <c r="GS96" s="141"/>
      <c r="GT96" s="141"/>
      <c r="GU96" s="141"/>
      <c r="GV96" s="141"/>
      <c r="GW96" s="141"/>
      <c r="GX96" s="141"/>
      <c r="GY96" s="141"/>
      <c r="GZ96" s="141"/>
      <c r="HA96" s="141"/>
      <c r="HB96" s="141"/>
      <c r="HC96" s="141"/>
      <c r="HD96" s="141"/>
      <c r="HE96" s="141"/>
      <c r="HF96" s="141"/>
      <c r="HG96" s="141"/>
      <c r="HH96" s="141"/>
      <c r="HI96" s="141"/>
      <c r="HJ96" s="141"/>
      <c r="HK96" s="141"/>
      <c r="HL96" s="141"/>
      <c r="HM96" s="141"/>
      <c r="HN96" s="141"/>
      <c r="HO96" s="141"/>
      <c r="HP96" s="141"/>
      <c r="HQ96" s="141"/>
      <c r="HR96" s="141"/>
      <c r="HS96" s="141"/>
      <c r="HT96" s="141"/>
      <c r="HU96" s="141"/>
      <c r="HV96" s="141"/>
      <c r="HW96" s="141"/>
      <c r="HX96" s="141"/>
      <c r="HY96" s="141"/>
      <c r="HZ96" s="141"/>
    </row>
    <row r="97" spans="1:8" ht="12.75" hidden="1" customHeight="1" x14ac:dyDescent="0.3">
      <c r="A97" s="56"/>
      <c r="B97" s="186"/>
      <c r="C97" s="183"/>
      <c r="D97" s="184"/>
      <c r="E97" s="183"/>
      <c r="F97" s="185"/>
      <c r="G97" s="185"/>
    </row>
    <row r="98" spans="1:8" ht="12.75" hidden="1" customHeight="1" x14ac:dyDescent="0.3">
      <c r="A98" s="56"/>
      <c r="B98" s="186"/>
      <c r="C98" s="183"/>
      <c r="D98" s="184"/>
      <c r="E98" s="183"/>
      <c r="F98" s="185"/>
      <c r="G98" s="185"/>
    </row>
    <row r="99" spans="1:8" ht="12.75" customHeight="1" x14ac:dyDescent="0.3">
      <c r="A99" s="56"/>
      <c r="B99" s="182" t="s">
        <v>130</v>
      </c>
      <c r="C99" s="183"/>
      <c r="D99" s="184"/>
      <c r="E99" s="183"/>
      <c r="F99" s="185"/>
      <c r="G99" s="185"/>
    </row>
    <row r="100" spans="1:8" ht="12.75" customHeight="1" x14ac:dyDescent="0.3">
      <c r="A100" s="56"/>
      <c r="B100" s="182" t="s">
        <v>117</v>
      </c>
      <c r="C100" s="183" t="s">
        <v>94</v>
      </c>
      <c r="D100" s="184">
        <v>0.5</v>
      </c>
      <c r="E100" s="183" t="s">
        <v>73</v>
      </c>
      <c r="F100" s="185">
        <f>68153*1.19</f>
        <v>81102.069999999992</v>
      </c>
      <c r="G100" s="185">
        <f t="shared" si="3"/>
        <v>40551.034999999996</v>
      </c>
    </row>
    <row r="101" spans="1:8" ht="12.75" customHeight="1" x14ac:dyDescent="0.3">
      <c r="A101" s="56"/>
      <c r="B101" s="182" t="s">
        <v>118</v>
      </c>
      <c r="C101" s="183" t="s">
        <v>94</v>
      </c>
      <c r="D101" s="184">
        <v>1</v>
      </c>
      <c r="E101" s="183" t="s">
        <v>119</v>
      </c>
      <c r="F101" s="185">
        <f>146901*1.19</f>
        <v>174812.19</v>
      </c>
      <c r="G101" s="185">
        <f t="shared" si="3"/>
        <v>174812.19</v>
      </c>
    </row>
    <row r="102" spans="1:8" ht="12.75" customHeight="1" x14ac:dyDescent="0.3">
      <c r="A102" s="56"/>
      <c r="B102" s="182" t="s">
        <v>120</v>
      </c>
      <c r="C102" s="183" t="s">
        <v>94</v>
      </c>
      <c r="D102" s="184">
        <v>1</v>
      </c>
      <c r="E102" s="183" t="s">
        <v>121</v>
      </c>
      <c r="F102" s="185">
        <f>87311*1.19</f>
        <v>103900.09</v>
      </c>
      <c r="G102" s="185">
        <f t="shared" si="3"/>
        <v>103900.09</v>
      </c>
    </row>
    <row r="103" spans="1:8" ht="12.75" customHeight="1" x14ac:dyDescent="0.3">
      <c r="A103" s="56"/>
      <c r="B103" s="182" t="s">
        <v>122</v>
      </c>
      <c r="C103" s="183" t="s">
        <v>94</v>
      </c>
      <c r="D103" s="184">
        <v>6</v>
      </c>
      <c r="E103" s="183" t="s">
        <v>121</v>
      </c>
      <c r="F103" s="185">
        <f>20106*1.19</f>
        <v>23926.14</v>
      </c>
      <c r="G103" s="185">
        <f t="shared" si="3"/>
        <v>143556.84</v>
      </c>
    </row>
    <row r="104" spans="1:8" ht="12.75" customHeight="1" x14ac:dyDescent="0.3">
      <c r="A104" s="56"/>
      <c r="B104" s="182" t="s">
        <v>123</v>
      </c>
      <c r="C104" s="183" t="s">
        <v>94</v>
      </c>
      <c r="D104" s="184">
        <v>1</v>
      </c>
      <c r="E104" s="183" t="s">
        <v>119</v>
      </c>
      <c r="F104" s="185">
        <f>197292*1.19</f>
        <v>234777.47999999998</v>
      </c>
      <c r="G104" s="185">
        <f t="shared" si="3"/>
        <v>234777.47999999998</v>
      </c>
    </row>
    <row r="105" spans="1:8" ht="12.75" customHeight="1" x14ac:dyDescent="0.3">
      <c r="A105" s="56"/>
      <c r="B105" s="182" t="s">
        <v>143</v>
      </c>
      <c r="C105" s="183" t="s">
        <v>141</v>
      </c>
      <c r="D105" s="184">
        <v>5</v>
      </c>
      <c r="E105" s="183" t="s">
        <v>142</v>
      </c>
      <c r="F105" s="185">
        <f>1728*1.19</f>
        <v>2056.3199999999997</v>
      </c>
      <c r="G105" s="185">
        <f t="shared" si="3"/>
        <v>10281.599999999999</v>
      </c>
    </row>
    <row r="106" spans="1:8" ht="12.75" customHeight="1" x14ac:dyDescent="0.3">
      <c r="A106" s="56"/>
      <c r="B106" s="182" t="s">
        <v>124</v>
      </c>
      <c r="C106" s="183" t="s">
        <v>94</v>
      </c>
      <c r="D106" s="184">
        <v>1</v>
      </c>
      <c r="E106" s="183" t="s">
        <v>125</v>
      </c>
      <c r="F106" s="185">
        <f>64717*1.19</f>
        <v>77013.23</v>
      </c>
      <c r="G106" s="185">
        <f t="shared" si="3"/>
        <v>77013.23</v>
      </c>
    </row>
    <row r="107" spans="1:8" ht="12.75" customHeight="1" x14ac:dyDescent="0.3">
      <c r="A107" s="56"/>
      <c r="B107" s="182" t="s">
        <v>152</v>
      </c>
      <c r="C107" s="183" t="s">
        <v>60</v>
      </c>
      <c r="D107" s="184">
        <v>1</v>
      </c>
      <c r="E107" s="183" t="s">
        <v>171</v>
      </c>
      <c r="F107" s="185">
        <v>205368</v>
      </c>
      <c r="G107" s="185">
        <f t="shared" si="3"/>
        <v>205368</v>
      </c>
      <c r="H107" s="192"/>
    </row>
    <row r="108" spans="1:8" ht="12.75" customHeight="1" x14ac:dyDescent="0.3">
      <c r="A108" s="56"/>
      <c r="B108" s="186" t="s">
        <v>154</v>
      </c>
      <c r="C108" s="183"/>
      <c r="D108" s="184"/>
      <c r="E108" s="183"/>
      <c r="F108" s="185"/>
      <c r="G108" s="185"/>
    </row>
    <row r="109" spans="1:8" ht="12.75" customHeight="1" x14ac:dyDescent="0.3">
      <c r="A109" s="56"/>
      <c r="B109" s="162" t="s">
        <v>170</v>
      </c>
      <c r="C109" s="163" t="s">
        <v>160</v>
      </c>
      <c r="D109" s="164">
        <v>6</v>
      </c>
      <c r="E109" s="161" t="s">
        <v>134</v>
      </c>
      <c r="F109" s="165">
        <f>38500*1.19</f>
        <v>45815</v>
      </c>
      <c r="G109" s="165">
        <f t="shared" si="3"/>
        <v>274890</v>
      </c>
      <c r="H109" s="192"/>
    </row>
    <row r="110" spans="1:8" ht="12.75" customHeight="1" x14ac:dyDescent="0.3">
      <c r="A110" s="56"/>
      <c r="B110" s="131" t="s">
        <v>155</v>
      </c>
      <c r="C110" s="92"/>
      <c r="D110" s="94"/>
      <c r="E110" s="92"/>
      <c r="F110" s="95"/>
      <c r="G110" s="95">
        <f t="shared" si="3"/>
        <v>0</v>
      </c>
    </row>
    <row r="111" spans="1:8" ht="12.75" customHeight="1" x14ac:dyDescent="0.3">
      <c r="A111" s="56"/>
      <c r="B111" s="97" t="s">
        <v>156</v>
      </c>
      <c r="C111" s="92" t="s">
        <v>158</v>
      </c>
      <c r="D111" s="94">
        <v>20</v>
      </c>
      <c r="E111" s="161" t="s">
        <v>134</v>
      </c>
      <c r="F111" s="95">
        <f>2250*1.19</f>
        <v>2677.5</v>
      </c>
      <c r="G111" s="95">
        <f t="shared" si="3"/>
        <v>53550</v>
      </c>
    </row>
    <row r="112" spans="1:8" ht="12.75" customHeight="1" x14ac:dyDescent="0.3">
      <c r="A112" s="56"/>
      <c r="B112" s="138" t="s">
        <v>135</v>
      </c>
      <c r="C112" s="188" t="s">
        <v>157</v>
      </c>
      <c r="D112" s="146">
        <f>2/2</f>
        <v>1</v>
      </c>
      <c r="E112" s="161" t="s">
        <v>134</v>
      </c>
      <c r="F112" s="146">
        <f>56000*1.19</f>
        <v>66640</v>
      </c>
      <c r="G112" s="146">
        <f>F112*D112</f>
        <v>66640</v>
      </c>
      <c r="H112" s="192"/>
    </row>
    <row r="113" spans="1:7" ht="12.75" customHeight="1" x14ac:dyDescent="0.3">
      <c r="A113" s="56"/>
      <c r="B113" s="97"/>
      <c r="C113" s="92"/>
      <c r="D113" s="94"/>
      <c r="E113" s="92"/>
      <c r="F113" s="95"/>
      <c r="G113" s="95"/>
    </row>
    <row r="114" spans="1:7" ht="13.5" customHeight="1" x14ac:dyDescent="0.3">
      <c r="A114" s="56"/>
      <c r="B114" s="116" t="s">
        <v>30</v>
      </c>
      <c r="C114" s="117"/>
      <c r="D114" s="117"/>
      <c r="E114" s="117"/>
      <c r="F114" s="118"/>
      <c r="G114" s="125">
        <f>SUM(G58:G112)</f>
        <v>24618764.269841213</v>
      </c>
    </row>
    <row r="115" spans="1:7" ht="12" customHeight="1" x14ac:dyDescent="0.3">
      <c r="A115" s="2"/>
      <c r="B115" s="111"/>
      <c r="C115" s="112"/>
      <c r="D115" s="112"/>
      <c r="E115" s="113"/>
      <c r="F115" s="114"/>
      <c r="G115" s="115"/>
    </row>
    <row r="116" spans="1:7" ht="12" customHeight="1" x14ac:dyDescent="0.3">
      <c r="A116" s="5"/>
      <c r="B116" s="29" t="s">
        <v>31</v>
      </c>
      <c r="C116" s="30"/>
      <c r="D116" s="31"/>
      <c r="E116" s="31"/>
      <c r="F116" s="32"/>
      <c r="G116" s="101"/>
    </row>
    <row r="117" spans="1:7" ht="24" customHeight="1" x14ac:dyDescent="0.3">
      <c r="A117" s="5"/>
      <c r="B117" s="110" t="s">
        <v>32</v>
      </c>
      <c r="C117" s="93" t="s">
        <v>28</v>
      </c>
      <c r="D117" s="93" t="s">
        <v>29</v>
      </c>
      <c r="E117" s="110" t="s">
        <v>17</v>
      </c>
      <c r="F117" s="93" t="s">
        <v>18</v>
      </c>
      <c r="G117" s="110" t="s">
        <v>19</v>
      </c>
    </row>
    <row r="118" spans="1:7" ht="16.5" customHeight="1" x14ac:dyDescent="0.3">
      <c r="A118" s="56"/>
      <c r="B118" s="166" t="s">
        <v>131</v>
      </c>
      <c r="C118" s="166" t="s">
        <v>132</v>
      </c>
      <c r="D118" s="166">
        <v>6</v>
      </c>
      <c r="E118" s="166" t="s">
        <v>133</v>
      </c>
      <c r="F118" s="167">
        <v>100000</v>
      </c>
      <c r="G118" s="167">
        <f t="shared" ref="G118" si="4">F118*D118</f>
        <v>600000</v>
      </c>
    </row>
    <row r="119" spans="1:7" ht="13.5" customHeight="1" x14ac:dyDescent="0.3">
      <c r="A119" s="5"/>
      <c r="B119" s="147" t="s">
        <v>33</v>
      </c>
      <c r="C119" s="47"/>
      <c r="D119" s="47"/>
      <c r="E119" s="109"/>
      <c r="F119" s="48"/>
      <c r="G119" s="126">
        <f>SUM(G118)</f>
        <v>600000</v>
      </c>
    </row>
    <row r="120" spans="1:7" ht="12" customHeight="1" x14ac:dyDescent="0.3">
      <c r="A120" s="2"/>
      <c r="B120" s="59"/>
      <c r="C120" s="59"/>
      <c r="D120" s="59"/>
      <c r="E120" s="59"/>
      <c r="F120" s="60"/>
      <c r="G120" s="104"/>
    </row>
    <row r="121" spans="1:7" ht="12" customHeight="1" x14ac:dyDescent="0.3">
      <c r="A121" s="56"/>
      <c r="B121" s="61" t="s">
        <v>34</v>
      </c>
      <c r="C121" s="62"/>
      <c r="D121" s="62"/>
      <c r="E121" s="62"/>
      <c r="F121" s="62"/>
      <c r="G121" s="63">
        <f>G43+G48+G54+G114+G119</f>
        <v>45817739.269841209</v>
      </c>
    </row>
    <row r="122" spans="1:7" ht="12" customHeight="1" x14ac:dyDescent="0.3">
      <c r="A122" s="56"/>
      <c r="B122" s="64" t="s">
        <v>35</v>
      </c>
      <c r="C122" s="50"/>
      <c r="D122" s="50"/>
      <c r="E122" s="50"/>
      <c r="F122" s="50"/>
      <c r="G122" s="65">
        <f>G121*0.05</f>
        <v>2290886.9634920605</v>
      </c>
    </row>
    <row r="123" spans="1:7" ht="12" customHeight="1" x14ac:dyDescent="0.3">
      <c r="A123" s="56"/>
      <c r="B123" s="66" t="s">
        <v>36</v>
      </c>
      <c r="C123" s="49"/>
      <c r="D123" s="49"/>
      <c r="E123" s="49"/>
      <c r="F123" s="49"/>
      <c r="G123" s="67">
        <f>G122+G121</f>
        <v>48108626.233333267</v>
      </c>
    </row>
    <row r="124" spans="1:7" ht="12" customHeight="1" x14ac:dyDescent="0.3">
      <c r="A124" s="56"/>
      <c r="B124" s="64" t="s">
        <v>37</v>
      </c>
      <c r="C124" s="50"/>
      <c r="D124" s="50"/>
      <c r="E124" s="50"/>
      <c r="F124" s="50"/>
      <c r="G124" s="65">
        <f>G12</f>
        <v>62500000</v>
      </c>
    </row>
    <row r="125" spans="1:7" ht="12" customHeight="1" x14ac:dyDescent="0.3">
      <c r="A125" s="56"/>
      <c r="B125" s="68" t="s">
        <v>38</v>
      </c>
      <c r="C125" s="69"/>
      <c r="D125" s="69"/>
      <c r="E125" s="69"/>
      <c r="F125" s="69"/>
      <c r="G125" s="63">
        <f>G124-G123</f>
        <v>14391373.766666733</v>
      </c>
    </row>
    <row r="126" spans="1:7" ht="12" customHeight="1" x14ac:dyDescent="0.3">
      <c r="A126" s="56"/>
      <c r="B126" s="57" t="s">
        <v>39</v>
      </c>
      <c r="C126" s="58"/>
      <c r="D126" s="58"/>
      <c r="E126" s="58"/>
      <c r="F126" s="58"/>
      <c r="G126" s="105"/>
    </row>
    <row r="127" spans="1:7" ht="12.75" customHeight="1" thickBot="1" x14ac:dyDescent="0.35">
      <c r="A127" s="56"/>
      <c r="B127" s="70"/>
      <c r="C127" s="58"/>
      <c r="D127" s="58"/>
      <c r="E127" s="58"/>
      <c r="F127" s="58"/>
      <c r="G127" s="105"/>
    </row>
    <row r="128" spans="1:7" ht="12" customHeight="1" x14ac:dyDescent="0.3">
      <c r="A128" s="56"/>
      <c r="B128" s="79" t="s">
        <v>40</v>
      </c>
      <c r="C128" s="80"/>
      <c r="D128" s="80"/>
      <c r="E128" s="80"/>
      <c r="F128" s="81"/>
      <c r="G128" s="105"/>
    </row>
    <row r="129" spans="1:8" ht="12" customHeight="1" x14ac:dyDescent="0.3">
      <c r="A129" s="56"/>
      <c r="B129" s="82" t="s">
        <v>41</v>
      </c>
      <c r="C129" s="55"/>
      <c r="D129" s="55"/>
      <c r="E129" s="55"/>
      <c r="F129" s="83"/>
      <c r="G129" s="105"/>
    </row>
    <row r="130" spans="1:8" ht="12" customHeight="1" x14ac:dyDescent="0.3">
      <c r="A130" s="56"/>
      <c r="B130" s="82" t="s">
        <v>42</v>
      </c>
      <c r="C130" s="55"/>
      <c r="D130" s="55"/>
      <c r="E130" s="55"/>
      <c r="F130" s="83"/>
      <c r="G130" s="105"/>
    </row>
    <row r="131" spans="1:8" ht="12" customHeight="1" x14ac:dyDescent="0.3">
      <c r="A131" s="56"/>
      <c r="B131" s="82" t="s">
        <v>43</v>
      </c>
      <c r="C131" s="55"/>
      <c r="D131" s="55"/>
      <c r="E131" s="55"/>
      <c r="F131" s="83"/>
      <c r="G131" s="105"/>
    </row>
    <row r="132" spans="1:8" ht="12" customHeight="1" x14ac:dyDescent="0.3">
      <c r="A132" s="56"/>
      <c r="B132" s="82" t="s">
        <v>44</v>
      </c>
      <c r="C132" s="55"/>
      <c r="D132" s="55"/>
      <c r="E132" s="55"/>
      <c r="F132" s="83"/>
      <c r="G132" s="105"/>
    </row>
    <row r="133" spans="1:8" ht="12" customHeight="1" x14ac:dyDescent="0.3">
      <c r="A133" s="56"/>
      <c r="B133" s="82" t="s">
        <v>45</v>
      </c>
      <c r="C133" s="55"/>
      <c r="D133" s="55"/>
      <c r="E133" s="55"/>
      <c r="F133" s="83"/>
      <c r="G133" s="105"/>
    </row>
    <row r="134" spans="1:8" ht="12.75" customHeight="1" thickBot="1" x14ac:dyDescent="0.35">
      <c r="A134" s="56"/>
      <c r="B134" s="84" t="s">
        <v>46</v>
      </c>
      <c r="C134" s="85"/>
      <c r="D134" s="85"/>
      <c r="E134" s="85"/>
      <c r="F134" s="86"/>
      <c r="G134" s="105"/>
    </row>
    <row r="135" spans="1:8" ht="12.75" customHeight="1" thickBot="1" x14ac:dyDescent="0.35">
      <c r="A135" s="56"/>
      <c r="B135" s="77"/>
      <c r="C135" s="55"/>
      <c r="D135" s="55"/>
      <c r="E135" s="55"/>
      <c r="F135" s="55"/>
      <c r="G135" s="105"/>
    </row>
    <row r="136" spans="1:8" ht="15" customHeight="1" thickBot="1" x14ac:dyDescent="0.35">
      <c r="A136" s="56"/>
      <c r="B136" s="236" t="s">
        <v>47</v>
      </c>
      <c r="C136" s="237"/>
      <c r="D136" s="194"/>
      <c r="E136" s="51"/>
      <c r="F136" s="51"/>
      <c r="G136" s="105"/>
      <c r="H136" s="196"/>
    </row>
    <row r="137" spans="1:8" ht="12" customHeight="1" x14ac:dyDescent="0.3">
      <c r="A137" s="56"/>
      <c r="B137" s="72" t="s">
        <v>32</v>
      </c>
      <c r="C137" s="127" t="s">
        <v>48</v>
      </c>
      <c r="D137" s="128" t="s">
        <v>49</v>
      </c>
      <c r="F137" s="238"/>
      <c r="G137" s="238"/>
      <c r="H137" s="238"/>
    </row>
    <row r="138" spans="1:8" ht="12" customHeight="1" x14ac:dyDescent="0.3">
      <c r="A138" s="56"/>
      <c r="B138" s="73" t="s">
        <v>50</v>
      </c>
      <c r="C138" s="52">
        <f>G43</f>
        <v>19215000</v>
      </c>
      <c r="D138" s="195">
        <f>(C138/C144)</f>
        <v>0.3994086197100013</v>
      </c>
      <c r="F138" s="206"/>
      <c r="G138" s="207"/>
      <c r="H138" s="208"/>
    </row>
    <row r="139" spans="1:8" ht="12" customHeight="1" x14ac:dyDescent="0.3">
      <c r="A139" s="56"/>
      <c r="B139" s="73" t="s">
        <v>51</v>
      </c>
      <c r="C139" s="52">
        <f>G48</f>
        <v>0</v>
      </c>
      <c r="D139" s="195">
        <v>0</v>
      </c>
      <c r="F139" s="206"/>
      <c r="G139" s="207"/>
      <c r="H139" s="208"/>
    </row>
    <row r="140" spans="1:8" ht="12" customHeight="1" x14ac:dyDescent="0.3">
      <c r="A140" s="56"/>
      <c r="B140" s="73" t="s">
        <v>52</v>
      </c>
      <c r="C140" s="52">
        <f>G54</f>
        <v>1383975</v>
      </c>
      <c r="D140" s="195">
        <f>(C140/C144)</f>
        <v>2.8767709834147753E-2</v>
      </c>
      <c r="F140" s="206"/>
      <c r="G140" s="207"/>
      <c r="H140" s="208"/>
    </row>
    <row r="141" spans="1:8" ht="12" customHeight="1" x14ac:dyDescent="0.3">
      <c r="A141" s="56"/>
      <c r="B141" s="73" t="s">
        <v>27</v>
      </c>
      <c r="C141" s="52">
        <f>G114</f>
        <v>24618764.269841213</v>
      </c>
      <c r="D141" s="195">
        <f>(C141/C144)</f>
        <v>0.51173284704570265</v>
      </c>
      <c r="F141" s="206"/>
      <c r="G141" s="209"/>
      <c r="H141" s="208"/>
    </row>
    <row r="142" spans="1:8" ht="12" customHeight="1" x14ac:dyDescent="0.3">
      <c r="A142" s="56"/>
      <c r="B142" s="73" t="s">
        <v>53</v>
      </c>
      <c r="C142" s="53">
        <f>G119</f>
        <v>600000</v>
      </c>
      <c r="D142" s="195">
        <f>(C142/C144)</f>
        <v>1.2471775791100743E-2</v>
      </c>
      <c r="F142" s="210"/>
      <c r="G142" s="209"/>
      <c r="H142" s="208"/>
    </row>
    <row r="143" spans="1:8" ht="12" customHeight="1" x14ac:dyDescent="0.3">
      <c r="A143" s="56"/>
      <c r="B143" s="73" t="s">
        <v>54</v>
      </c>
      <c r="C143" s="53">
        <f>G122</f>
        <v>2290886.9634920605</v>
      </c>
      <c r="D143" s="195">
        <f>(C143/C144)</f>
        <v>4.7619047619047623E-2</v>
      </c>
      <c r="F143" s="206"/>
      <c r="G143" s="209"/>
      <c r="H143" s="208"/>
    </row>
    <row r="144" spans="1:8" ht="12.75" customHeight="1" thickBot="1" x14ac:dyDescent="0.35">
      <c r="A144" s="56"/>
      <c r="B144" s="74" t="s">
        <v>55</v>
      </c>
      <c r="C144" s="75">
        <f>SUM(C138:C143)</f>
        <v>48108626.233333267</v>
      </c>
      <c r="D144" s="76">
        <f>SUM(D138:D143)</f>
        <v>1</v>
      </c>
      <c r="F144" s="205"/>
      <c r="G144" s="211"/>
      <c r="H144" s="208"/>
    </row>
    <row r="145" spans="1:8" ht="12" customHeight="1" x14ac:dyDescent="0.3">
      <c r="A145" s="56"/>
      <c r="B145" s="70"/>
      <c r="C145" s="58"/>
      <c r="D145" s="58"/>
      <c r="E145" s="58"/>
      <c r="F145" s="58"/>
      <c r="G145" s="105"/>
      <c r="H145" s="196"/>
    </row>
    <row r="146" spans="1:8" ht="12.75" customHeight="1" thickBot="1" x14ac:dyDescent="0.35">
      <c r="A146" s="56"/>
      <c r="B146" s="71"/>
      <c r="C146" s="58"/>
      <c r="D146" s="58"/>
      <c r="E146" s="58"/>
      <c r="F146" s="58"/>
      <c r="G146" s="105"/>
    </row>
    <row r="147" spans="1:8" ht="12" customHeight="1" thickBot="1" x14ac:dyDescent="0.35">
      <c r="A147" s="56"/>
      <c r="B147" s="233" t="s">
        <v>139</v>
      </c>
      <c r="C147" s="234"/>
      <c r="D147" s="234"/>
      <c r="E147" s="235"/>
      <c r="F147" s="54"/>
      <c r="G147" s="105"/>
    </row>
    <row r="148" spans="1:8" ht="12" customHeight="1" x14ac:dyDescent="0.3">
      <c r="A148" s="56"/>
      <c r="B148" s="88" t="s">
        <v>136</v>
      </c>
      <c r="C148" s="119">
        <v>110000</v>
      </c>
      <c r="D148" s="119">
        <f>G9</f>
        <v>125000</v>
      </c>
      <c r="E148" s="119">
        <v>135000</v>
      </c>
      <c r="F148" s="87"/>
      <c r="G148" s="106"/>
    </row>
    <row r="149" spans="1:8" ht="12.75" customHeight="1" thickBot="1" x14ac:dyDescent="0.35">
      <c r="A149" s="56"/>
      <c r="B149" s="74" t="s">
        <v>137</v>
      </c>
      <c r="C149" s="187">
        <f>G123/C148</f>
        <v>437.35114757575695</v>
      </c>
      <c r="D149" s="75">
        <f>(G123/D148)</f>
        <v>384.86900986666615</v>
      </c>
      <c r="E149" s="89">
        <f>(G123/E148)</f>
        <v>356.36019432098715</v>
      </c>
      <c r="F149" s="87"/>
      <c r="G149" s="106"/>
    </row>
    <row r="150" spans="1:8" ht="15.6" customHeight="1" x14ac:dyDescent="0.3">
      <c r="A150" s="56"/>
      <c r="B150" s="78" t="s">
        <v>56</v>
      </c>
      <c r="C150" s="55"/>
      <c r="D150" s="55"/>
      <c r="E150" s="55"/>
      <c r="F150" s="55"/>
      <c r="G150" s="107"/>
    </row>
  </sheetData>
  <mergeCells count="10">
    <mergeCell ref="E9:F9"/>
    <mergeCell ref="E14:F14"/>
    <mergeCell ref="E15:F15"/>
    <mergeCell ref="B17:G17"/>
    <mergeCell ref="B147:E147"/>
    <mergeCell ref="B136:C136"/>
    <mergeCell ref="E13:F13"/>
    <mergeCell ref="E11:F11"/>
    <mergeCell ref="E10:F10"/>
    <mergeCell ref="F137:H137"/>
  </mergeCells>
  <phoneticPr fontId="27" type="noConversion"/>
  <pageMargins left="0.25" right="0.25" top="0.14000000000000001" bottom="1.24" header="0.12" footer="1.22"/>
  <pageSetup paperSize="5" fitToHeight="0" orientation="portrait" r:id="rId1"/>
  <headerFooter>
    <oddFooter>&amp;C&amp;"Helvetica Neue,Regular"&amp;12&amp;K000000&amp;P</oddFooter>
  </headerFooter>
  <rowBreaks count="2" manualBreakCount="2">
    <brk id="55" min="1" max="6" man="1"/>
    <brk id="113" min="1" max="6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02D9EC940F96643B63B06A5078D086C" ma:contentTypeVersion="16" ma:contentTypeDescription="Crear nuevo documento." ma:contentTypeScope="" ma:versionID="460fcf2cabfba59f52d96c11e90afadb">
  <xsd:schema xmlns:xsd="http://www.w3.org/2001/XMLSchema" xmlns:xs="http://www.w3.org/2001/XMLSchema" xmlns:p="http://schemas.microsoft.com/office/2006/metadata/properties" xmlns:ns1="http://schemas.microsoft.com/sharepoint/v3" xmlns:ns3="c5dbce2d-49dc-4afe-a5b0-d7fb7a901161" xmlns:ns4="1030f0af-99cb-42f1-88fc-acec73331192" targetNamespace="http://schemas.microsoft.com/office/2006/metadata/properties" ma:root="true" ma:fieldsID="e9e81fa5701fb57a9a1e74e746f7827b" ns1:_="" ns3:_="" ns4:_="">
    <xsd:import namespace="http://schemas.microsoft.com/sharepoint/v3"/>
    <xsd:import namespace="c5dbce2d-49dc-4afe-a5b0-d7fb7a901161"/>
    <xsd:import namespace="1030f0af-99cb-42f1-88fc-acec73331192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ingHintHash" minOccurs="0"/>
                <xsd:element ref="ns3:SharedWithDetails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1:_ip_UnifiedCompliancePolicyProperties" minOccurs="0"/>
                <xsd:element ref="ns1:_ip_UnifiedCompliancePolicyUIAction" minOccurs="0"/>
                <xsd:element ref="ns4:MediaServiceOCR" minOccurs="0"/>
                <xsd:element ref="ns4:MediaServiceDateTaken" minOccurs="0"/>
                <xsd:element ref="ns4:MediaServiceLocation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8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19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dbce2d-49dc-4afe-a5b0-d7fb7a90116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9" nillable="true" ma:displayName="Hash de la sugerencia para compartir" ma:internalName="SharingHintHash" ma:readOnly="true">
      <xsd:simpleType>
        <xsd:restriction base="dms:Text"/>
      </xsd:simpleType>
    </xsd:element>
    <xsd:element name="SharedWithDetails" ma:index="1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30f0af-99cb-42f1-88fc-acec7333119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1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1A37E084-A4AF-44A2-8C3B-277D438A4DD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c5dbce2d-49dc-4afe-a5b0-d7fb7a901161"/>
    <ds:schemaRef ds:uri="1030f0af-99cb-42f1-88fc-acec7333119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3E9754A-563E-4868-AB57-60F5299F802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DD9022-0117-4D8C-BD90-083DC46270A3}">
  <ds:schemaRefs>
    <ds:schemaRef ds:uri="http://www.w3.org/XML/1998/namespace"/>
    <ds:schemaRef ds:uri="http://purl.org/dc/elements/1.1/"/>
    <ds:schemaRef ds:uri="1030f0af-99cb-42f1-88fc-acec73331192"/>
    <ds:schemaRef ds:uri="http://schemas.microsoft.com/office/2006/metadata/properties"/>
    <ds:schemaRef ds:uri="http://schemas.openxmlformats.org/package/2006/metadata/core-properties"/>
    <ds:schemaRef ds:uri="http://schemas.microsoft.com/sharepoint/v3"/>
    <ds:schemaRef ds:uri="http://schemas.microsoft.com/office/2006/documentManagement/types"/>
    <ds:schemaRef ds:uri="http://purl.org/dc/terms/"/>
    <ds:schemaRef ds:uri="http://schemas.microsoft.com/office/infopath/2007/PartnerControls"/>
    <ds:schemaRef ds:uri="c5dbce2d-49dc-4afe-a5b0-d7fb7a901161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TOMATE INVERNADERO </vt:lpstr>
      <vt:lpstr>'TOMATE INVERNADERO 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Salinas Alvarez Mariana Beatriz</cp:lastModifiedBy>
  <cp:lastPrinted>2022-06-14T20:07:37Z</cp:lastPrinted>
  <dcterms:created xsi:type="dcterms:W3CDTF">2020-11-27T12:49:26Z</dcterms:created>
  <dcterms:modified xsi:type="dcterms:W3CDTF">2022-06-24T14:26:48Z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0x010100202D9EC940F96643B63B06A5078D086C</vt:lpwstr>
  </property>
</Properties>
</file>