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linasa\OneDrive - INDAP\FINANCIERO 2020-2021 (1)\Fichas\2022\Valparaíso 2022\Actualizadas al 22.06.2022\La Calera\"/>
    </mc:Choice>
  </mc:AlternateContent>
  <bookViews>
    <workbookView xWindow="0" yWindow="0" windowWidth="11136" windowHeight="8700" activeTab="1"/>
  </bookViews>
  <sheets>
    <sheet name="CLAVEL BAJO INVERNADERO" sheetId="1" r:id="rId1"/>
    <sheet name="A junio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5" i="2" l="1"/>
  <c r="G75" i="2" s="1"/>
  <c r="D45" i="2"/>
  <c r="G45" i="2" s="1"/>
  <c r="E117" i="2"/>
  <c r="D117" i="2"/>
  <c r="G9" i="2" s="1"/>
  <c r="G12" i="2" s="1"/>
  <c r="G93" i="2" s="1"/>
  <c r="C117" i="2"/>
  <c r="C108" i="2"/>
  <c r="G88" i="2"/>
  <c r="C111" i="2" s="1"/>
  <c r="G79" i="2"/>
  <c r="F78" i="2"/>
  <c r="G78" i="2" s="1"/>
  <c r="G77" i="2"/>
  <c r="G76" i="2"/>
  <c r="G74" i="2"/>
  <c r="G73" i="2"/>
  <c r="G72" i="2"/>
  <c r="G71" i="2"/>
  <c r="G70" i="2"/>
  <c r="G68" i="2"/>
  <c r="G67" i="2"/>
  <c r="G66" i="2"/>
  <c r="G65" i="2"/>
  <c r="G64" i="2"/>
  <c r="G63" i="2"/>
  <c r="G62" i="2"/>
  <c r="G61" i="2"/>
  <c r="G60" i="2"/>
  <c r="G58" i="2"/>
  <c r="G57" i="2"/>
  <c r="G53" i="2"/>
  <c r="G52" i="2"/>
  <c r="G51" i="2"/>
  <c r="G50" i="2"/>
  <c r="G49" i="2"/>
  <c r="G48" i="2"/>
  <c r="G47" i="2"/>
  <c r="G39" i="2"/>
  <c r="G41" i="2" s="1"/>
  <c r="C109" i="2" s="1"/>
  <c r="G29" i="2"/>
  <c r="D29" i="2"/>
  <c r="G28" i="2"/>
  <c r="D27" i="2"/>
  <c r="G27" i="2" s="1"/>
  <c r="G26" i="2"/>
  <c r="D25" i="2"/>
  <c r="G25" i="2" s="1"/>
  <c r="G24" i="2"/>
  <c r="G23" i="2"/>
  <c r="G22" i="2"/>
  <c r="G21" i="2"/>
  <c r="G30" i="2" l="1"/>
  <c r="G80" i="2"/>
  <c r="C110" i="2" s="1"/>
  <c r="F78" i="1"/>
  <c r="G78" i="1" s="1"/>
  <c r="F72" i="1"/>
  <c r="G72" i="1" s="1"/>
  <c r="F70" i="1"/>
  <c r="G70" i="1" s="1"/>
  <c r="F63" i="1"/>
  <c r="F61" i="1"/>
  <c r="F52" i="1"/>
  <c r="E117" i="1"/>
  <c r="D117" i="1"/>
  <c r="C117" i="1"/>
  <c r="D25" i="1"/>
  <c r="D27" i="1"/>
  <c r="D77" i="1"/>
  <c r="G71" i="1"/>
  <c r="D45" i="1"/>
  <c r="G53" i="1"/>
  <c r="F53" i="1"/>
  <c r="G68" i="1"/>
  <c r="G52" i="1"/>
  <c r="G67" i="1"/>
  <c r="G66" i="1"/>
  <c r="G74" i="1"/>
  <c r="D29" i="1"/>
  <c r="G29" i="1" s="1"/>
  <c r="G79" i="1"/>
  <c r="G73" i="1"/>
  <c r="C107" i="2" l="1"/>
  <c r="G90" i="2"/>
  <c r="G91" i="2" s="1"/>
  <c r="G77" i="1"/>
  <c r="G9" i="1"/>
  <c r="G12" i="1" s="1"/>
  <c r="G92" i="2" l="1"/>
  <c r="G94" i="2" s="1"/>
  <c r="C112" i="2"/>
  <c r="C113" i="2" s="1"/>
  <c r="D107" i="2" s="1"/>
  <c r="C108" i="1"/>
  <c r="G65" i="1"/>
  <c r="F64" i="1"/>
  <c r="G64" i="1" s="1"/>
  <c r="G63" i="1"/>
  <c r="G62" i="1"/>
  <c r="G61" i="1"/>
  <c r="G60" i="1"/>
  <c r="G76" i="1"/>
  <c r="G75" i="1"/>
  <c r="G26" i="1"/>
  <c r="G22" i="1"/>
  <c r="G58" i="1"/>
  <c r="G57" i="1"/>
  <c r="G51" i="1"/>
  <c r="G48" i="1"/>
  <c r="G47" i="1"/>
  <c r="G45" i="1"/>
  <c r="G39" i="1"/>
  <c r="G27" i="1"/>
  <c r="G21" i="1"/>
  <c r="C118" i="2" l="1"/>
  <c r="E118" i="2"/>
  <c r="D118" i="2"/>
  <c r="D109" i="2"/>
  <c r="D111" i="2"/>
  <c r="D110" i="2"/>
  <c r="D112" i="2"/>
  <c r="G28" i="1"/>
  <c r="G23" i="1"/>
  <c r="G25" i="1"/>
  <c r="G24" i="1"/>
  <c r="G88" i="1"/>
  <c r="C111" i="1" s="1"/>
  <c r="G50" i="1"/>
  <c r="G49" i="1"/>
  <c r="G80" i="1" s="1"/>
  <c r="C110" i="1" s="1"/>
  <c r="G93" i="1"/>
  <c r="D113" i="2" l="1"/>
  <c r="G30" i="1"/>
  <c r="G41" i="1"/>
  <c r="C109" i="1" s="1"/>
  <c r="C107" i="1" l="1"/>
  <c r="G90" i="1"/>
  <c r="G91" i="1" s="1"/>
  <c r="G92" i="1" l="1"/>
  <c r="G94" i="1" s="1"/>
  <c r="C112" i="1"/>
  <c r="C113" i="1" l="1"/>
  <c r="D112" i="1" s="1"/>
  <c r="D110" i="1" l="1"/>
  <c r="D118" i="1"/>
  <c r="D107" i="1"/>
  <c r="D111" i="1"/>
  <c r="C118" i="1"/>
  <c r="E118" i="1"/>
  <c r="D109" i="1"/>
  <c r="D113" i="1" l="1"/>
  <c r="G95" i="1"/>
  <c r="G95" i="2"/>
</calcChain>
</file>

<file path=xl/sharedStrings.xml><?xml version="1.0" encoding="utf-8"?>
<sst xmlns="http://schemas.openxmlformats.org/spreadsheetml/2006/main" count="430" uniqueCount="141">
  <si>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</si>
  <si>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</si>
  <si>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</si>
  <si>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</si>
  <si>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</si>
  <si>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</si>
  <si>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</si>
  <si>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</si>
  <si>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</si>
  <si>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</si>
  <si>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</si>
  <si>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</si>
  <si>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</si>
  <si>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</si>
  <si>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</si>
  <si>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</si>
  <si>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</si>
  <si>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</si>
  <si>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</si>
  <si>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</si>
  <si>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</si>
  <si>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</si>
  <si>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</si>
  <si>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</si>
  <si>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</si>
  <si>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</si>
  <si>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</si>
  <si>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</si>
  <si>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</si>
  <si>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</si>
  <si>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</si>
  <si>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</si>
  <si>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</si>
  <si>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</si>
  <si>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</si>
  <si>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</si>
  <si>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</si>
  <si>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</si>
  <si>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</si>
  <si>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</si>
  <si>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</si>
  <si>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</si>
  <si>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</si>
  <si>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</si>
  <si>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</si>
  <si>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</si>
  <si>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</si>
  <si>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</si>
  <si>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</si>
  <si>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</si>
  <si>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</si>
  <si>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</si>
  <si>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</si>
  <si>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</si>
  <si>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</si>
  <si>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</si>
  <si>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</si>
  <si>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</si>
  <si>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</si>
  <si>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</si>
  <si>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</si>
  <si>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</si>
  <si>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Todas la comunas del Área</t>
  </si>
  <si>
    <t>VALPARAISO</t>
  </si>
  <si>
    <t>TODO EL AÑO</t>
  </si>
  <si>
    <t>PRECIO ESPERADO ($/VARA)</t>
  </si>
  <si>
    <t>MERCADO INTERNO FLORES</t>
  </si>
  <si>
    <t>Plantación</t>
  </si>
  <si>
    <t xml:space="preserve">Desinfecciones </t>
  </si>
  <si>
    <t>Cosecha</t>
  </si>
  <si>
    <t>Pinzado</t>
  </si>
  <si>
    <t>Preparación de suelo</t>
  </si>
  <si>
    <t>todo el año</t>
  </si>
  <si>
    <t>Esqueje enraizado</t>
  </si>
  <si>
    <t>un</t>
  </si>
  <si>
    <t>Nitrato Potasio</t>
  </si>
  <si>
    <t xml:space="preserve">Nitrato de amonio </t>
  </si>
  <si>
    <t>Nitrato de magnesio</t>
  </si>
  <si>
    <t>Fosfato Monopotasico</t>
  </si>
  <si>
    <t>Nitrato de calcio</t>
  </si>
  <si>
    <t>Oxifluirfen</t>
  </si>
  <si>
    <t>l</t>
  </si>
  <si>
    <t>Paraquat</t>
  </si>
  <si>
    <t>L</t>
  </si>
  <si>
    <t>Abamectina</t>
  </si>
  <si>
    <t>Protectores aplicacdores</t>
  </si>
  <si>
    <t>z</t>
  </si>
  <si>
    <t>Labores de mantencion y limpieza</t>
  </si>
  <si>
    <t>Reposicion polietileno (50 % superficie)</t>
  </si>
  <si>
    <t>Maderas reposicion</t>
  </si>
  <si>
    <t>marzo-abril</t>
  </si>
  <si>
    <t>paq 50 un</t>
  </si>
  <si>
    <t>Tiametoxam + lanbda cihaotrina</t>
  </si>
  <si>
    <t>1 l</t>
  </si>
  <si>
    <t>Lambda cihalotrina</t>
  </si>
  <si>
    <t>1/4 L</t>
  </si>
  <si>
    <t>FUNGICDAS E INSECTICIDAS</t>
  </si>
  <si>
    <t>Trifloxistrobina + ciproconazol</t>
  </si>
  <si>
    <t>cc</t>
  </si>
  <si>
    <t>Propiconazole</t>
  </si>
  <si>
    <t>Rendimiento (varas/año x 5 inv)</t>
  </si>
  <si>
    <t>Costo unitario ($/vara (*)</t>
  </si>
  <si>
    <t>RENDIMIENTO varas/ 1050 m2 /año</t>
  </si>
  <si>
    <t>mes</t>
  </si>
  <si>
    <t>set</t>
  </si>
  <si>
    <t>Repocision cintas de riego</t>
  </si>
  <si>
    <t>m</t>
  </si>
  <si>
    <t>COSTOS DIRECTOS DE PRODUCCIÓN 1050 M2 (5 INV)  (INCLUYE IVA)</t>
  </si>
  <si>
    <t>DIVERSAS</t>
  </si>
  <si>
    <t>Preparacion cama e instalación de cintas</t>
  </si>
  <si>
    <t xml:space="preserve">Desbotonado </t>
  </si>
  <si>
    <t>Encasillado</t>
  </si>
  <si>
    <t>Noviembre</t>
  </si>
  <si>
    <t>Octubre</t>
  </si>
  <si>
    <t>Diciembre</t>
  </si>
  <si>
    <t>Todo el año</t>
  </si>
  <si>
    <t>septiembre</t>
  </si>
  <si>
    <t>noviembre</t>
  </si>
  <si>
    <t>1</t>
  </si>
  <si>
    <t>Cajas embalaje</t>
  </si>
  <si>
    <t xml:space="preserve">un </t>
  </si>
  <si>
    <t>Electricidad riego</t>
  </si>
  <si>
    <t>Repocision malla tutora</t>
  </si>
  <si>
    <t>rollo 420</t>
  </si>
  <si>
    <t>Propamocarb</t>
  </si>
  <si>
    <t>Bioestimulantes foliares (genérico)</t>
  </si>
  <si>
    <t>Extractos algas (genérico)</t>
  </si>
  <si>
    <t>Extracto neem</t>
  </si>
  <si>
    <t>Estimulantes radiculares</t>
  </si>
  <si>
    <t xml:space="preserve">Fierro Quelatado 6% </t>
  </si>
  <si>
    <t>2,5 kg</t>
  </si>
  <si>
    <t>Carbendazima</t>
  </si>
  <si>
    <t>Microelementos /fetrilon combi</t>
  </si>
  <si>
    <t>2 kg</t>
  </si>
  <si>
    <t>rollo 100 m</t>
  </si>
  <si>
    <t>Clavel bajo invernadero</t>
  </si>
  <si>
    <t>Polietileno reparacion 50 %  del total</t>
  </si>
  <si>
    <t>LA CALERA</t>
  </si>
  <si>
    <t>Isopirazam +Azoxistrobina</t>
  </si>
  <si>
    <t>SEQUÍA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</si>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</sst>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41" fontId="19" fillId="0" borderId="0" applyFont="0" applyFill="0" applyBorder="0" applyAlignment="0" applyProtection="0"/>
  </cellStyleXfs>
  <cellXfs count="16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56" xfId="0" applyNumberFormat="1" applyFont="1" applyFill="1" applyBorder="1" applyAlignment="1"/>
    <xf numFmtId="0" fontId="20" fillId="2" borderId="1" xfId="0" applyFont="1" applyFill="1" applyBorder="1" applyAlignment="1"/>
    <xf numFmtId="49" fontId="4" fillId="2" borderId="6" xfId="0" applyNumberFormat="1" applyFont="1" applyFill="1" applyBorder="1" applyAlignment="1">
      <alignment horizontal="left"/>
    </xf>
    <xf numFmtId="49" fontId="4" fillId="2" borderId="56" xfId="0" applyNumberFormat="1" applyFont="1" applyFill="1" applyBorder="1" applyAlignment="1"/>
    <xf numFmtId="49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 applyAlignment="1"/>
    <xf numFmtId="41" fontId="13" fillId="8" borderId="55" xfId="1" applyFont="1" applyFill="1" applyBorder="1" applyAlignment="1">
      <alignment vertical="center"/>
    </xf>
    <xf numFmtId="41" fontId="4" fillId="2" borderId="6" xfId="1" applyFont="1" applyFill="1" applyBorder="1" applyAlignment="1"/>
    <xf numFmtId="3" fontId="0" fillId="0" borderId="0" xfId="0" applyNumberFormat="1" applyFont="1" applyAlignment="1"/>
    <xf numFmtId="49" fontId="2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/>
    <xf numFmtId="3" fontId="4" fillId="2" borderId="56" xfId="0" applyNumberFormat="1" applyFont="1" applyFill="1" applyBorder="1"/>
    <xf numFmtId="3" fontId="4" fillId="2" borderId="19" xfId="0" applyNumberFormat="1" applyFont="1" applyFill="1" applyBorder="1"/>
    <xf numFmtId="0" fontId="4" fillId="2" borderId="6" xfId="0" applyFont="1" applyFill="1" applyBorder="1"/>
    <xf numFmtId="0" fontId="4" fillId="2" borderId="6" xfId="0" applyNumberFormat="1" applyFont="1" applyFill="1" applyBorder="1"/>
    <xf numFmtId="0" fontId="4" fillId="2" borderId="56" xfId="0" applyNumberFormat="1" applyFont="1" applyFill="1" applyBorder="1"/>
    <xf numFmtId="0" fontId="4" fillId="2" borderId="19" xfId="0" applyNumberFormat="1" applyFont="1" applyFill="1" applyBorder="1"/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/>
    <xf numFmtId="0" fontId="3" fillId="4" borderId="6" xfId="0" applyFont="1" applyFill="1" applyBorder="1" applyAlignment="1"/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304800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13855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3964"/>
          <a:ext cx="6449291" cy="1241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9"/>
  <sheetViews>
    <sheetView showGridLines="0" topLeftCell="B1" zoomScale="110" zoomScaleNormal="110" workbookViewId="0">
      <selection activeCell="J14" sqref="J14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7" ht="15" customHeight="1" x14ac:dyDescent="0.3">
      <c r="A1" s="2"/>
      <c r="B1" s="2"/>
      <c r="C1" s="2"/>
      <c r="D1" s="2"/>
      <c r="E1" s="2"/>
      <c r="F1" s="2"/>
      <c r="G1" s="2"/>
    </row>
    <row r="2" spans="1:7" ht="15" customHeight="1" x14ac:dyDescent="0.3">
      <c r="A2" s="2"/>
      <c r="B2" s="2"/>
      <c r="C2" s="2"/>
      <c r="D2" s="2"/>
      <c r="E2" s="2"/>
      <c r="F2" s="2"/>
      <c r="G2" s="2"/>
    </row>
    <row r="3" spans="1:7" ht="15" customHeight="1" x14ac:dyDescent="0.3">
      <c r="A3" s="2"/>
      <c r="B3" s="2"/>
      <c r="C3" s="2"/>
      <c r="D3" s="2"/>
      <c r="E3" s="2"/>
      <c r="F3" s="2"/>
      <c r="G3" s="2"/>
    </row>
    <row r="4" spans="1:7" ht="15" customHeight="1" x14ac:dyDescent="0.3">
      <c r="A4" s="2"/>
      <c r="B4" s="2"/>
      <c r="C4" s="2"/>
      <c r="D4" s="2"/>
      <c r="E4" s="2"/>
      <c r="F4" s="2"/>
      <c r="G4" s="2"/>
    </row>
    <row r="5" spans="1:7" ht="15" customHeight="1" x14ac:dyDescent="0.3">
      <c r="A5" s="2"/>
      <c r="B5" s="2"/>
      <c r="C5" s="2"/>
      <c r="D5" s="2"/>
      <c r="E5" s="2"/>
      <c r="F5" s="2"/>
      <c r="G5" s="2"/>
    </row>
    <row r="6" spans="1:7" ht="15" customHeight="1" x14ac:dyDescent="0.3">
      <c r="A6" s="2"/>
      <c r="B6" s="2"/>
      <c r="C6" s="2"/>
      <c r="D6" s="2"/>
      <c r="E6" s="2"/>
      <c r="F6" s="2"/>
      <c r="G6" s="2"/>
    </row>
    <row r="7" spans="1:7" ht="15" customHeight="1" x14ac:dyDescent="0.3">
      <c r="A7" s="2"/>
      <c r="B7" s="2"/>
      <c r="C7" s="2"/>
      <c r="D7" s="2"/>
      <c r="E7" s="2"/>
      <c r="F7" s="2"/>
      <c r="G7" s="2"/>
    </row>
    <row r="8" spans="1:7" ht="15" customHeight="1" x14ac:dyDescent="0.3">
      <c r="A8" s="2"/>
      <c r="B8" s="3"/>
      <c r="C8" s="4"/>
      <c r="D8" s="2"/>
      <c r="E8" s="4"/>
      <c r="F8" s="4"/>
      <c r="G8" s="4"/>
    </row>
    <row r="9" spans="1:7" ht="12" customHeight="1" x14ac:dyDescent="0.3">
      <c r="A9" s="5"/>
      <c r="B9" s="6" t="s">
        <v>0</v>
      </c>
      <c r="C9" s="146" t="s">
        <v>135</v>
      </c>
      <c r="D9" s="7"/>
      <c r="E9" s="161" t="s">
        <v>102</v>
      </c>
      <c r="F9" s="162"/>
      <c r="G9" s="8">
        <f>+D117</f>
        <v>120000</v>
      </c>
    </row>
    <row r="10" spans="1:7" ht="38.25" customHeight="1" x14ac:dyDescent="0.3">
      <c r="A10" s="5"/>
      <c r="B10" s="9" t="s">
        <v>1</v>
      </c>
      <c r="C10" s="10" t="s">
        <v>108</v>
      </c>
      <c r="D10" s="11"/>
      <c r="E10" s="159" t="s">
        <v>2</v>
      </c>
      <c r="F10" s="160"/>
      <c r="G10" s="13" t="s">
        <v>64</v>
      </c>
    </row>
    <row r="11" spans="1:7" ht="18" customHeight="1" x14ac:dyDescent="0.3">
      <c r="A11" s="5"/>
      <c r="B11" s="9" t="s">
        <v>3</v>
      </c>
      <c r="C11" s="13" t="s">
        <v>4</v>
      </c>
      <c r="D11" s="11"/>
      <c r="E11" s="159" t="s">
        <v>65</v>
      </c>
      <c r="F11" s="160"/>
      <c r="G11" s="14">
        <v>150</v>
      </c>
    </row>
    <row r="12" spans="1:7" ht="11.25" customHeight="1" x14ac:dyDescent="0.3">
      <c r="A12" s="5"/>
      <c r="B12" s="9" t="s">
        <v>5</v>
      </c>
      <c r="C12" s="15" t="s">
        <v>63</v>
      </c>
      <c r="D12" s="11"/>
      <c r="E12" s="16" t="s">
        <v>6</v>
      </c>
      <c r="F12" s="17"/>
      <c r="G12" s="18">
        <f>+G11*G9</f>
        <v>18000000</v>
      </c>
    </row>
    <row r="13" spans="1:7" ht="11.25" customHeight="1" x14ac:dyDescent="0.3">
      <c r="A13" s="5"/>
      <c r="B13" s="9" t="s">
        <v>7</v>
      </c>
      <c r="C13" s="13" t="s">
        <v>137</v>
      </c>
      <c r="D13" s="11"/>
      <c r="E13" s="159" t="s">
        <v>8</v>
      </c>
      <c r="F13" s="160"/>
      <c r="G13" s="13" t="s">
        <v>66</v>
      </c>
    </row>
    <row r="14" spans="1:7" ht="13.5" customHeight="1" x14ac:dyDescent="0.3">
      <c r="A14" s="5"/>
      <c r="B14" s="9" t="s">
        <v>9</v>
      </c>
      <c r="C14" s="13" t="s">
        <v>62</v>
      </c>
      <c r="D14" s="11"/>
      <c r="E14" s="159" t="s">
        <v>10</v>
      </c>
      <c r="F14" s="160"/>
      <c r="G14" s="13" t="s">
        <v>64</v>
      </c>
    </row>
    <row r="15" spans="1:7" ht="25.5" customHeight="1" x14ac:dyDescent="0.3">
      <c r="A15" s="5"/>
      <c r="B15" s="9" t="s">
        <v>11</v>
      </c>
      <c r="C15" s="19">
        <v>44621</v>
      </c>
      <c r="D15" s="11"/>
      <c r="E15" s="163" t="s">
        <v>12</v>
      </c>
      <c r="F15" s="164"/>
      <c r="G15" s="15" t="s">
        <v>139</v>
      </c>
    </row>
    <row r="16" spans="1:7" ht="12" customHeight="1" x14ac:dyDescent="0.3">
      <c r="A16" s="2"/>
      <c r="B16" s="20"/>
      <c r="C16" s="21"/>
      <c r="D16" s="22"/>
      <c r="E16" s="23"/>
      <c r="F16" s="23"/>
      <c r="G16" s="24"/>
    </row>
    <row r="17" spans="1:8" ht="12" customHeight="1" x14ac:dyDescent="0.3">
      <c r="A17" s="25"/>
      <c r="B17" s="165" t="s">
        <v>107</v>
      </c>
      <c r="C17" s="166"/>
      <c r="D17" s="166"/>
      <c r="E17" s="166"/>
      <c r="F17" s="166"/>
      <c r="G17" s="166"/>
    </row>
    <row r="18" spans="1:8" ht="12" customHeight="1" x14ac:dyDescent="0.3">
      <c r="A18" s="2"/>
      <c r="B18" s="26"/>
      <c r="C18" s="27"/>
      <c r="D18" s="27"/>
      <c r="E18" s="27"/>
      <c r="F18" s="28"/>
      <c r="G18" s="28"/>
    </row>
    <row r="19" spans="1:8" ht="12" customHeight="1" x14ac:dyDescent="0.3">
      <c r="A19" s="5"/>
      <c r="B19" s="29" t="s">
        <v>13</v>
      </c>
      <c r="C19" s="30"/>
      <c r="D19" s="31"/>
      <c r="E19" s="31"/>
      <c r="F19" s="31"/>
      <c r="G19" s="31"/>
    </row>
    <row r="20" spans="1:8" ht="24" customHeight="1" x14ac:dyDescent="0.3">
      <c r="A20" s="25"/>
      <c r="B20" s="32" t="s">
        <v>14</v>
      </c>
      <c r="C20" s="32" t="s">
        <v>15</v>
      </c>
      <c r="D20" s="32" t="s">
        <v>16</v>
      </c>
      <c r="E20" s="32" t="s">
        <v>17</v>
      </c>
      <c r="F20" s="32" t="s">
        <v>18</v>
      </c>
      <c r="G20" s="32" t="s">
        <v>19</v>
      </c>
    </row>
    <row r="21" spans="1:8" ht="12.75" customHeight="1" x14ac:dyDescent="0.3">
      <c r="A21" s="25"/>
      <c r="B21" s="134" t="s">
        <v>67</v>
      </c>
      <c r="C21" s="33" t="s">
        <v>20</v>
      </c>
      <c r="D21" s="34">
        <v>5</v>
      </c>
      <c r="E21" s="134" t="s">
        <v>112</v>
      </c>
      <c r="F21" s="18">
        <v>25000</v>
      </c>
      <c r="G21" s="18">
        <f>+F21*D21</f>
        <v>125000</v>
      </c>
    </row>
    <row r="22" spans="1:8" ht="12.75" customHeight="1" x14ac:dyDescent="0.3">
      <c r="A22" s="25"/>
      <c r="B22" s="134" t="s">
        <v>109</v>
      </c>
      <c r="C22" s="33" t="s">
        <v>20</v>
      </c>
      <c r="D22" s="34">
        <v>2</v>
      </c>
      <c r="E22" s="134" t="s">
        <v>113</v>
      </c>
      <c r="F22" s="18">
        <v>25000</v>
      </c>
      <c r="G22" s="18">
        <f>+F22*D22</f>
        <v>50000</v>
      </c>
    </row>
    <row r="23" spans="1:8" ht="12.75" customHeight="1" x14ac:dyDescent="0.3">
      <c r="A23" s="25"/>
      <c r="B23" s="134" t="s">
        <v>70</v>
      </c>
      <c r="C23" s="33" t="s">
        <v>20</v>
      </c>
      <c r="D23" s="34">
        <v>2</v>
      </c>
      <c r="E23" s="134" t="s">
        <v>114</v>
      </c>
      <c r="F23" s="18">
        <v>25000</v>
      </c>
      <c r="G23" s="18">
        <f>+F23*D23</f>
        <v>50000</v>
      </c>
    </row>
    <row r="24" spans="1:8" ht="12.75" customHeight="1" x14ac:dyDescent="0.3">
      <c r="A24" s="25"/>
      <c r="B24" s="12" t="s">
        <v>68</v>
      </c>
      <c r="C24" s="33" t="s">
        <v>20</v>
      </c>
      <c r="D24" s="34">
        <v>10</v>
      </c>
      <c r="E24" s="12" t="s">
        <v>115</v>
      </c>
      <c r="F24" s="18">
        <v>25000</v>
      </c>
      <c r="G24" s="18">
        <f t="shared" ref="G24:G28" si="0">+F24*D24</f>
        <v>250000</v>
      </c>
    </row>
    <row r="25" spans="1:8" ht="12.75" customHeight="1" x14ac:dyDescent="0.3">
      <c r="A25" s="25"/>
      <c r="B25" s="134" t="s">
        <v>110</v>
      </c>
      <c r="C25" s="33" t="s">
        <v>20</v>
      </c>
      <c r="D25" s="34">
        <f>4000*5*6/4000</f>
        <v>30</v>
      </c>
      <c r="E25" s="134" t="s">
        <v>115</v>
      </c>
      <c r="F25" s="18">
        <v>25000</v>
      </c>
      <c r="G25" s="18">
        <f t="shared" si="0"/>
        <v>750000</v>
      </c>
    </row>
    <row r="26" spans="1:8" ht="12.75" customHeight="1" x14ac:dyDescent="0.3">
      <c r="A26" s="25"/>
      <c r="B26" s="134" t="s">
        <v>111</v>
      </c>
      <c r="C26" s="33" t="s">
        <v>20</v>
      </c>
      <c r="D26" s="34">
        <v>10</v>
      </c>
      <c r="E26" s="134" t="s">
        <v>64</v>
      </c>
      <c r="F26" s="18">
        <v>25000</v>
      </c>
      <c r="G26" s="18">
        <f t="shared" si="0"/>
        <v>250000</v>
      </c>
    </row>
    <row r="27" spans="1:8" ht="12.75" customHeight="1" x14ac:dyDescent="0.3">
      <c r="A27" s="25"/>
      <c r="B27" s="134" t="s">
        <v>69</v>
      </c>
      <c r="C27" s="33" t="s">
        <v>20</v>
      </c>
      <c r="D27" s="34">
        <f>4000*5*4/1600</f>
        <v>50</v>
      </c>
      <c r="E27" s="134" t="s">
        <v>64</v>
      </c>
      <c r="F27" s="18">
        <v>25000</v>
      </c>
      <c r="G27" s="18">
        <f t="shared" si="0"/>
        <v>1250000</v>
      </c>
    </row>
    <row r="28" spans="1:8" ht="12.75" customHeight="1" x14ac:dyDescent="0.3">
      <c r="A28" s="25"/>
      <c r="B28" s="139" t="s">
        <v>87</v>
      </c>
      <c r="C28" s="33" t="s">
        <v>20</v>
      </c>
      <c r="D28" s="34">
        <v>30</v>
      </c>
      <c r="E28" s="134" t="s">
        <v>64</v>
      </c>
      <c r="F28" s="18">
        <v>25000</v>
      </c>
      <c r="G28" s="18">
        <f t="shared" si="0"/>
        <v>750000</v>
      </c>
    </row>
    <row r="29" spans="1:8" ht="12.75" customHeight="1" x14ac:dyDescent="0.3">
      <c r="A29" s="25"/>
      <c r="B29" s="139" t="s">
        <v>88</v>
      </c>
      <c r="C29" s="33" t="s">
        <v>20</v>
      </c>
      <c r="D29" s="34">
        <f>30000*5/20000</f>
        <v>7.5</v>
      </c>
      <c r="E29" s="134" t="s">
        <v>64</v>
      </c>
      <c r="F29" s="18">
        <v>40000</v>
      </c>
      <c r="G29" s="18">
        <f t="shared" ref="G29" si="1">+F29*D29</f>
        <v>300000</v>
      </c>
    </row>
    <row r="30" spans="1:8" ht="12.75" customHeight="1" x14ac:dyDescent="0.3">
      <c r="A30" s="25"/>
      <c r="B30" s="35" t="s">
        <v>21</v>
      </c>
      <c r="C30" s="36"/>
      <c r="D30" s="36"/>
      <c r="E30" s="36"/>
      <c r="F30" s="37"/>
      <c r="G30" s="38">
        <f>SUM(G24:G29)</f>
        <v>3550000</v>
      </c>
      <c r="H30" s="145"/>
    </row>
    <row r="31" spans="1:8" ht="12" customHeight="1" x14ac:dyDescent="0.3">
      <c r="A31" s="2"/>
      <c r="B31" s="26"/>
      <c r="C31" s="28"/>
      <c r="D31" s="28"/>
      <c r="E31" s="28"/>
      <c r="F31" s="39"/>
      <c r="G31" s="39"/>
    </row>
    <row r="32" spans="1:8" ht="12" customHeight="1" x14ac:dyDescent="0.3">
      <c r="A32" s="5"/>
      <c r="B32" s="40" t="s">
        <v>22</v>
      </c>
      <c r="C32" s="41"/>
      <c r="D32" s="42"/>
      <c r="E32" s="42"/>
      <c r="F32" s="43"/>
      <c r="G32" s="43"/>
    </row>
    <row r="33" spans="1:11" ht="24" customHeight="1" x14ac:dyDescent="0.3">
      <c r="A33" s="5"/>
      <c r="B33" s="44" t="s">
        <v>14</v>
      </c>
      <c r="C33" s="45" t="s">
        <v>15</v>
      </c>
      <c r="D33" s="45" t="s">
        <v>16</v>
      </c>
      <c r="E33" s="44" t="s">
        <v>17</v>
      </c>
      <c r="F33" s="45" t="s">
        <v>18</v>
      </c>
      <c r="G33" s="44" t="s">
        <v>19</v>
      </c>
    </row>
    <row r="34" spans="1:11" ht="12" customHeight="1" x14ac:dyDescent="0.3">
      <c r="A34" s="5"/>
      <c r="B34" s="46"/>
      <c r="C34" s="47"/>
      <c r="D34" s="47"/>
      <c r="E34" s="47"/>
      <c r="F34" s="46"/>
      <c r="G34" s="46"/>
    </row>
    <row r="35" spans="1:11" ht="12" customHeight="1" x14ac:dyDescent="0.3">
      <c r="A35" s="5"/>
      <c r="B35" s="48" t="s">
        <v>23</v>
      </c>
      <c r="C35" s="49"/>
      <c r="D35" s="49"/>
      <c r="E35" s="49"/>
      <c r="F35" s="50"/>
      <c r="G35" s="50"/>
    </row>
    <row r="36" spans="1:11" ht="12" customHeight="1" x14ac:dyDescent="0.3">
      <c r="A36" s="2"/>
      <c r="B36" s="51"/>
      <c r="C36" s="52"/>
      <c r="D36" s="52"/>
      <c r="E36" s="52"/>
      <c r="F36" s="53"/>
      <c r="G36" s="53"/>
    </row>
    <row r="37" spans="1:11" ht="12" customHeight="1" x14ac:dyDescent="0.3">
      <c r="A37" s="5"/>
      <c r="B37" s="40" t="s">
        <v>24</v>
      </c>
      <c r="C37" s="41"/>
      <c r="D37" s="42"/>
      <c r="E37" s="42"/>
      <c r="F37" s="43"/>
      <c r="G37" s="43"/>
    </row>
    <row r="38" spans="1:11" ht="24" customHeight="1" x14ac:dyDescent="0.3">
      <c r="A38" s="5"/>
      <c r="B38" s="54" t="s">
        <v>14</v>
      </c>
      <c r="C38" s="54" t="s">
        <v>15</v>
      </c>
      <c r="D38" s="54" t="s">
        <v>16</v>
      </c>
      <c r="E38" s="54" t="s">
        <v>17</v>
      </c>
      <c r="F38" s="55" t="s">
        <v>18</v>
      </c>
      <c r="G38" s="54" t="s">
        <v>19</v>
      </c>
    </row>
    <row r="39" spans="1:11" ht="12.75" customHeight="1" x14ac:dyDescent="0.3">
      <c r="A39" s="25"/>
      <c r="B39" s="12" t="s">
        <v>71</v>
      </c>
      <c r="C39" s="33" t="s">
        <v>140</v>
      </c>
      <c r="D39" s="34">
        <v>1.137</v>
      </c>
      <c r="E39" s="15" t="s">
        <v>116</v>
      </c>
      <c r="F39" s="18">
        <v>176000</v>
      </c>
      <c r="G39" s="18">
        <f>+F39*D39</f>
        <v>200112</v>
      </c>
    </row>
    <row r="40" spans="1:11" ht="12.75" customHeight="1" x14ac:dyDescent="0.3">
      <c r="A40" s="25"/>
      <c r="B40" s="12"/>
      <c r="C40" s="33"/>
      <c r="D40" s="34"/>
      <c r="E40" s="15"/>
      <c r="F40" s="18"/>
      <c r="G40" s="18"/>
    </row>
    <row r="41" spans="1:11" ht="12.75" customHeight="1" x14ac:dyDescent="0.3">
      <c r="A41" s="5"/>
      <c r="B41" s="56" t="s">
        <v>25</v>
      </c>
      <c r="C41" s="57"/>
      <c r="D41" s="57"/>
      <c r="E41" s="57"/>
      <c r="F41" s="58"/>
      <c r="G41" s="59">
        <f>SUM(G39:G40)</f>
        <v>200112</v>
      </c>
    </row>
    <row r="42" spans="1:11" ht="12" customHeight="1" x14ac:dyDescent="0.3">
      <c r="A42" s="2"/>
      <c r="B42" s="51"/>
      <c r="C42" s="52"/>
      <c r="D42" s="52"/>
      <c r="E42" s="52"/>
      <c r="F42" s="53"/>
      <c r="G42" s="53"/>
    </row>
    <row r="43" spans="1:11" ht="12" customHeight="1" x14ac:dyDescent="0.3">
      <c r="A43" s="5"/>
      <c r="B43" s="40" t="s">
        <v>26</v>
      </c>
      <c r="C43" s="41"/>
      <c r="D43" s="42"/>
      <c r="E43" s="42"/>
      <c r="F43" s="43"/>
      <c r="G43" s="43"/>
    </row>
    <row r="44" spans="1:11" ht="24" customHeight="1" x14ac:dyDescent="0.3">
      <c r="A44" s="5"/>
      <c r="B44" s="55" t="s">
        <v>27</v>
      </c>
      <c r="C44" s="55" t="s">
        <v>28</v>
      </c>
      <c r="D44" s="55" t="s">
        <v>29</v>
      </c>
      <c r="E44" s="55" t="s">
        <v>17</v>
      </c>
      <c r="F44" s="55" t="s">
        <v>18</v>
      </c>
      <c r="G44" s="55" t="s">
        <v>19</v>
      </c>
      <c r="K44" s="133"/>
    </row>
    <row r="45" spans="1:11" ht="12.75" customHeight="1" x14ac:dyDescent="0.3">
      <c r="A45" s="25"/>
      <c r="B45" s="135" t="s">
        <v>73</v>
      </c>
      <c r="C45" s="64" t="s">
        <v>74</v>
      </c>
      <c r="D45" s="136">
        <f>4000*5</f>
        <v>20000</v>
      </c>
      <c r="E45" s="64" t="s">
        <v>117</v>
      </c>
      <c r="F45" s="62">
        <v>380</v>
      </c>
      <c r="G45" s="62">
        <f>+F45*D45</f>
        <v>7600000</v>
      </c>
    </row>
    <row r="46" spans="1:11" ht="12.75" customHeight="1" x14ac:dyDescent="0.3">
      <c r="A46" s="25"/>
      <c r="B46" s="63" t="s">
        <v>30</v>
      </c>
      <c r="C46" s="64"/>
      <c r="D46" s="17"/>
      <c r="E46" s="64"/>
      <c r="F46" s="62"/>
      <c r="G46" s="62"/>
    </row>
    <row r="47" spans="1:11" ht="12.75" customHeight="1" x14ac:dyDescent="0.3">
      <c r="A47" s="25"/>
      <c r="B47" s="135" t="s">
        <v>75</v>
      </c>
      <c r="C47" s="64" t="s">
        <v>31</v>
      </c>
      <c r="D47" s="136">
        <v>75</v>
      </c>
      <c r="E47" s="64" t="s">
        <v>72</v>
      </c>
      <c r="F47" s="62">
        <v>1880</v>
      </c>
      <c r="G47" s="62">
        <f>+F47*D47</f>
        <v>141000</v>
      </c>
    </row>
    <row r="48" spans="1:11" ht="12.75" customHeight="1" x14ac:dyDescent="0.3">
      <c r="A48" s="25"/>
      <c r="B48" s="135" t="s">
        <v>76</v>
      </c>
      <c r="C48" s="64" t="s">
        <v>31</v>
      </c>
      <c r="D48" s="136">
        <v>25</v>
      </c>
      <c r="E48" s="64" t="s">
        <v>72</v>
      </c>
      <c r="F48" s="62">
        <v>1000</v>
      </c>
      <c r="G48" s="62">
        <f>+F48*D48</f>
        <v>25000</v>
      </c>
    </row>
    <row r="49" spans="1:7" ht="12.75" customHeight="1" x14ac:dyDescent="0.3">
      <c r="A49" s="25"/>
      <c r="B49" s="135" t="s">
        <v>77</v>
      </c>
      <c r="C49" s="60" t="s">
        <v>31</v>
      </c>
      <c r="D49" s="61">
        <v>25</v>
      </c>
      <c r="E49" s="60" t="s">
        <v>72</v>
      </c>
      <c r="F49" s="62">
        <v>720</v>
      </c>
      <c r="G49" s="62">
        <f>(D49*F49)</f>
        <v>18000</v>
      </c>
    </row>
    <row r="50" spans="1:7" ht="12.75" customHeight="1" x14ac:dyDescent="0.3">
      <c r="A50" s="25"/>
      <c r="B50" s="135" t="s">
        <v>78</v>
      </c>
      <c r="C50" s="60" t="s">
        <v>32</v>
      </c>
      <c r="D50" s="61">
        <v>25</v>
      </c>
      <c r="E50" s="60" t="s">
        <v>72</v>
      </c>
      <c r="F50" s="62">
        <v>1800</v>
      </c>
      <c r="G50" s="62">
        <f>(D50*F50)</f>
        <v>45000</v>
      </c>
    </row>
    <row r="51" spans="1:7" ht="12.75" customHeight="1" x14ac:dyDescent="0.3">
      <c r="A51" s="25"/>
      <c r="B51" s="135" t="s">
        <v>79</v>
      </c>
      <c r="C51" s="60" t="s">
        <v>31</v>
      </c>
      <c r="D51" s="61">
        <v>50</v>
      </c>
      <c r="E51" s="60" t="s">
        <v>72</v>
      </c>
      <c r="F51" s="62">
        <v>885</v>
      </c>
      <c r="G51" s="62">
        <f>+F51*D51</f>
        <v>44250</v>
      </c>
    </row>
    <row r="52" spans="1:7" ht="12.75" customHeight="1" x14ac:dyDescent="0.3">
      <c r="A52" s="25"/>
      <c r="B52" s="135" t="s">
        <v>129</v>
      </c>
      <c r="C52" s="60" t="s">
        <v>130</v>
      </c>
      <c r="D52" s="61">
        <v>1</v>
      </c>
      <c r="E52" s="60" t="s">
        <v>72</v>
      </c>
      <c r="F52" s="62">
        <f>22338*1.19</f>
        <v>26582.219999999998</v>
      </c>
      <c r="G52" s="62">
        <f>+F52*D52</f>
        <v>26582.219999999998</v>
      </c>
    </row>
    <row r="53" spans="1:7" ht="12.75" customHeight="1" x14ac:dyDescent="0.3">
      <c r="A53" s="25"/>
      <c r="B53" s="135" t="s">
        <v>132</v>
      </c>
      <c r="C53" s="60" t="s">
        <v>133</v>
      </c>
      <c r="D53" s="61">
        <v>2</v>
      </c>
      <c r="E53" s="60" t="s">
        <v>72</v>
      </c>
      <c r="F53" s="62">
        <f>34000*1.19</f>
        <v>40460</v>
      </c>
      <c r="G53" s="62">
        <f>+F53*D53</f>
        <v>80920</v>
      </c>
    </row>
    <row r="54" spans="1:7" ht="12.75" customHeight="1" x14ac:dyDescent="0.3">
      <c r="A54" s="25"/>
      <c r="B54" s="135"/>
      <c r="C54" s="60"/>
      <c r="D54" s="61"/>
      <c r="E54" s="60"/>
      <c r="F54" s="62"/>
      <c r="G54" s="62"/>
    </row>
    <row r="55" spans="1:7" ht="12.75" customHeight="1" x14ac:dyDescent="0.3">
      <c r="A55" s="25"/>
      <c r="B55" s="135"/>
      <c r="C55" s="60"/>
      <c r="D55" s="61"/>
      <c r="E55" s="60"/>
      <c r="F55" s="62"/>
      <c r="G55" s="62"/>
    </row>
    <row r="56" spans="1:7" ht="12.75" customHeight="1" x14ac:dyDescent="0.3">
      <c r="A56" s="25"/>
      <c r="B56" s="63" t="s">
        <v>33</v>
      </c>
      <c r="C56" s="64"/>
      <c r="D56" s="17"/>
      <c r="E56" s="64"/>
      <c r="F56" s="62"/>
      <c r="G56" s="62"/>
    </row>
    <row r="57" spans="1:7" ht="12.75" customHeight="1" x14ac:dyDescent="0.3">
      <c r="A57" s="25"/>
      <c r="B57" s="16" t="s">
        <v>80</v>
      </c>
      <c r="C57" s="60" t="s">
        <v>81</v>
      </c>
      <c r="D57" s="61">
        <v>1</v>
      </c>
      <c r="E57" s="60" t="s">
        <v>72</v>
      </c>
      <c r="F57" s="62">
        <v>18500</v>
      </c>
      <c r="G57" s="62">
        <f>+F57*D57</f>
        <v>18500</v>
      </c>
    </row>
    <row r="58" spans="1:7" ht="12.75" customHeight="1" x14ac:dyDescent="0.3">
      <c r="A58" s="25"/>
      <c r="B58" s="16" t="s">
        <v>82</v>
      </c>
      <c r="C58" s="60" t="s">
        <v>83</v>
      </c>
      <c r="D58" s="61">
        <v>2</v>
      </c>
      <c r="E58" s="60" t="s">
        <v>72</v>
      </c>
      <c r="F58" s="62">
        <v>17350</v>
      </c>
      <c r="G58" s="62">
        <f>+F58*D58</f>
        <v>34700</v>
      </c>
    </row>
    <row r="59" spans="1:7" ht="12.75" customHeight="1" x14ac:dyDescent="0.3">
      <c r="A59" s="25"/>
      <c r="B59" s="63" t="s">
        <v>96</v>
      </c>
      <c r="C59" s="64"/>
      <c r="D59" s="17"/>
      <c r="E59" s="64"/>
      <c r="F59" s="62"/>
      <c r="G59" s="62"/>
    </row>
    <row r="60" spans="1:7" ht="12.75" customHeight="1" x14ac:dyDescent="0.3">
      <c r="A60" s="25"/>
      <c r="B60" s="135" t="s">
        <v>92</v>
      </c>
      <c r="C60" s="60" t="s">
        <v>93</v>
      </c>
      <c r="D60" s="61">
        <v>0.5</v>
      </c>
      <c r="E60" s="60" t="s">
        <v>72</v>
      </c>
      <c r="F60" s="62">
        <v>113061</v>
      </c>
      <c r="G60" s="144">
        <f t="shared" ref="G60:G68" si="2">+F60*D60</f>
        <v>56530.5</v>
      </c>
    </row>
    <row r="61" spans="1:7" ht="12.75" customHeight="1" x14ac:dyDescent="0.3">
      <c r="A61" s="25"/>
      <c r="B61" s="135" t="s">
        <v>127</v>
      </c>
      <c r="C61" s="60" t="s">
        <v>118</v>
      </c>
      <c r="D61" s="61">
        <v>1</v>
      </c>
      <c r="E61" s="60" t="s">
        <v>72</v>
      </c>
      <c r="F61" s="62">
        <f>34500*1.3</f>
        <v>44850</v>
      </c>
      <c r="G61" s="144">
        <f t="shared" si="2"/>
        <v>44850</v>
      </c>
    </row>
    <row r="62" spans="1:7" ht="12.75" customHeight="1" x14ac:dyDescent="0.3">
      <c r="A62" s="25"/>
      <c r="B62" s="135" t="s">
        <v>84</v>
      </c>
      <c r="C62" s="60" t="s">
        <v>93</v>
      </c>
      <c r="D62" s="61">
        <v>1</v>
      </c>
      <c r="E62" s="60" t="s">
        <v>72</v>
      </c>
      <c r="F62" s="62">
        <v>31178</v>
      </c>
      <c r="G62" s="144">
        <f t="shared" si="2"/>
        <v>31178</v>
      </c>
    </row>
    <row r="63" spans="1:7" ht="12.75" customHeight="1" x14ac:dyDescent="0.3">
      <c r="A63" s="25"/>
      <c r="B63" s="135" t="s">
        <v>94</v>
      </c>
      <c r="C63" s="60" t="s">
        <v>95</v>
      </c>
      <c r="D63" s="61">
        <v>1</v>
      </c>
      <c r="E63" s="60" t="s">
        <v>72</v>
      </c>
      <c r="F63" s="62">
        <f>18500*1.3</f>
        <v>24050</v>
      </c>
      <c r="G63" s="144">
        <f t="shared" si="2"/>
        <v>24050</v>
      </c>
    </row>
    <row r="64" spans="1:7" ht="12.75" customHeight="1" x14ac:dyDescent="0.3">
      <c r="A64" s="25"/>
      <c r="B64" s="135" t="s">
        <v>97</v>
      </c>
      <c r="C64" s="60" t="s">
        <v>98</v>
      </c>
      <c r="D64" s="61">
        <v>300</v>
      </c>
      <c r="E64" s="60" t="s">
        <v>72</v>
      </c>
      <c r="F64" s="62">
        <f>98000/1000</f>
        <v>98</v>
      </c>
      <c r="G64" s="144">
        <f t="shared" si="2"/>
        <v>29400</v>
      </c>
    </row>
    <row r="65" spans="1:7" ht="12.75" customHeight="1" x14ac:dyDescent="0.3">
      <c r="A65" s="25"/>
      <c r="B65" s="135" t="s">
        <v>99</v>
      </c>
      <c r="C65" s="60" t="s">
        <v>93</v>
      </c>
      <c r="D65" s="61">
        <v>1</v>
      </c>
      <c r="E65" s="60" t="s">
        <v>72</v>
      </c>
      <c r="F65" s="62">
        <v>22000</v>
      </c>
      <c r="G65" s="144">
        <f t="shared" si="2"/>
        <v>22000</v>
      </c>
    </row>
    <row r="66" spans="1:7" ht="12.75" customHeight="1" x14ac:dyDescent="0.3">
      <c r="A66" s="25"/>
      <c r="B66" s="135" t="s">
        <v>124</v>
      </c>
      <c r="C66" s="60" t="s">
        <v>93</v>
      </c>
      <c r="D66" s="61">
        <v>1</v>
      </c>
      <c r="E66" s="60" t="s">
        <v>72</v>
      </c>
      <c r="F66" s="62">
        <v>56474</v>
      </c>
      <c r="G66" s="144">
        <f t="shared" si="2"/>
        <v>56474</v>
      </c>
    </row>
    <row r="67" spans="1:7" ht="12.75" customHeight="1" x14ac:dyDescent="0.3">
      <c r="A67" s="25"/>
      <c r="B67" s="135" t="s">
        <v>138</v>
      </c>
      <c r="C67" s="60" t="s">
        <v>93</v>
      </c>
      <c r="D67" s="61">
        <v>1</v>
      </c>
      <c r="E67" s="60" t="s">
        <v>72</v>
      </c>
      <c r="F67" s="62">
        <v>79000</v>
      </c>
      <c r="G67" s="144">
        <f t="shared" si="2"/>
        <v>79000</v>
      </c>
    </row>
    <row r="68" spans="1:7" ht="12.75" customHeight="1" x14ac:dyDescent="0.3">
      <c r="A68" s="25"/>
      <c r="B68" s="135" t="s">
        <v>131</v>
      </c>
      <c r="C68" s="60" t="s">
        <v>93</v>
      </c>
      <c r="D68" s="61">
        <v>2</v>
      </c>
      <c r="E68" s="60" t="s">
        <v>72</v>
      </c>
      <c r="F68" s="62">
        <v>21600</v>
      </c>
      <c r="G68" s="144">
        <f t="shared" si="2"/>
        <v>43200</v>
      </c>
    </row>
    <row r="69" spans="1:7" ht="12.75" customHeight="1" x14ac:dyDescent="0.3">
      <c r="A69" s="25"/>
      <c r="B69" s="63" t="s">
        <v>35</v>
      </c>
      <c r="C69" s="60"/>
      <c r="D69" s="61"/>
      <c r="E69" s="60"/>
      <c r="F69" s="62"/>
      <c r="G69" s="61"/>
    </row>
    <row r="70" spans="1:7" ht="12.75" customHeight="1" x14ac:dyDescent="0.3">
      <c r="A70" s="25"/>
      <c r="B70" s="135" t="s">
        <v>128</v>
      </c>
      <c r="C70" s="60" t="s">
        <v>93</v>
      </c>
      <c r="D70" s="61">
        <v>1</v>
      </c>
      <c r="E70" s="60" t="s">
        <v>72</v>
      </c>
      <c r="F70" s="62">
        <f>22914*1.19*1.3</f>
        <v>35447.957999999999</v>
      </c>
      <c r="G70" s="144">
        <f t="shared" ref="G70:G79" si="3">+F70*D70</f>
        <v>35447.957999999999</v>
      </c>
    </row>
    <row r="71" spans="1:7" ht="12.75" customHeight="1" x14ac:dyDescent="0.3">
      <c r="A71" s="25"/>
      <c r="B71" s="135" t="s">
        <v>126</v>
      </c>
      <c r="C71" s="60" t="s">
        <v>93</v>
      </c>
      <c r="D71" s="61">
        <v>2</v>
      </c>
      <c r="E71" s="60" t="s">
        <v>72</v>
      </c>
      <c r="F71" s="62">
        <v>21000</v>
      </c>
      <c r="G71" s="62">
        <f t="shared" si="3"/>
        <v>42000</v>
      </c>
    </row>
    <row r="72" spans="1:7" ht="12.75" customHeight="1" x14ac:dyDescent="0.3">
      <c r="A72" s="25"/>
      <c r="B72" s="135" t="s">
        <v>125</v>
      </c>
      <c r="C72" s="60" t="s">
        <v>83</v>
      </c>
      <c r="D72" s="61">
        <v>2</v>
      </c>
      <c r="E72" s="60" t="s">
        <v>72</v>
      </c>
      <c r="F72" s="62">
        <f>16800*1.3</f>
        <v>21840</v>
      </c>
      <c r="G72" s="62">
        <f t="shared" si="3"/>
        <v>43680</v>
      </c>
    </row>
    <row r="73" spans="1:7" ht="12.75" customHeight="1" x14ac:dyDescent="0.3">
      <c r="A73" s="25"/>
      <c r="B73" s="135" t="s">
        <v>119</v>
      </c>
      <c r="C73" s="60" t="s">
        <v>120</v>
      </c>
      <c r="D73" s="61">
        <v>500</v>
      </c>
      <c r="E73" s="60" t="s">
        <v>72</v>
      </c>
      <c r="F73" s="62">
        <v>500</v>
      </c>
      <c r="G73" s="62">
        <f t="shared" si="3"/>
        <v>250000</v>
      </c>
    </row>
    <row r="74" spans="1:7" ht="12.75" customHeight="1" x14ac:dyDescent="0.3">
      <c r="A74" s="25"/>
      <c r="B74" s="135" t="s">
        <v>85</v>
      </c>
      <c r="C74" s="60" t="s">
        <v>104</v>
      </c>
      <c r="D74" s="61">
        <v>1</v>
      </c>
      <c r="E74" s="60" t="s">
        <v>72</v>
      </c>
      <c r="F74" s="62">
        <v>47000</v>
      </c>
      <c r="G74" s="62">
        <f t="shared" si="3"/>
        <v>47000</v>
      </c>
    </row>
    <row r="75" spans="1:7" ht="12.75" customHeight="1" x14ac:dyDescent="0.3">
      <c r="A75" s="25"/>
      <c r="B75" s="135" t="s">
        <v>136</v>
      </c>
      <c r="C75" s="60" t="s">
        <v>134</v>
      </c>
      <c r="D75" s="61">
        <v>1.5</v>
      </c>
      <c r="E75" s="60" t="s">
        <v>90</v>
      </c>
      <c r="F75" s="62">
        <v>300000</v>
      </c>
      <c r="G75" s="62">
        <f t="shared" si="3"/>
        <v>450000</v>
      </c>
    </row>
    <row r="76" spans="1:7" ht="12.75" customHeight="1" x14ac:dyDescent="0.3">
      <c r="A76" s="25"/>
      <c r="B76" s="135" t="s">
        <v>89</v>
      </c>
      <c r="C76" s="60" t="s">
        <v>91</v>
      </c>
      <c r="D76" s="61">
        <v>1</v>
      </c>
      <c r="E76" s="60" t="s">
        <v>90</v>
      </c>
      <c r="F76" s="62">
        <v>32000</v>
      </c>
      <c r="G76" s="62">
        <f t="shared" si="3"/>
        <v>32000</v>
      </c>
    </row>
    <row r="77" spans="1:7" ht="12.75" customHeight="1" x14ac:dyDescent="0.3">
      <c r="A77" s="25"/>
      <c r="B77" s="140" t="s">
        <v>105</v>
      </c>
      <c r="C77" s="141" t="s">
        <v>106</v>
      </c>
      <c r="D77" s="142">
        <f>30*2*4*5/2</f>
        <v>600</v>
      </c>
      <c r="E77" s="141" t="s">
        <v>90</v>
      </c>
      <c r="F77" s="137">
        <v>71</v>
      </c>
      <c r="G77" s="137">
        <f t="shared" si="3"/>
        <v>42600</v>
      </c>
    </row>
    <row r="78" spans="1:7" ht="12.75" customHeight="1" x14ac:dyDescent="0.3">
      <c r="A78" s="25"/>
      <c r="B78" s="140" t="s">
        <v>122</v>
      </c>
      <c r="C78" s="141" t="s">
        <v>123</v>
      </c>
      <c r="D78" s="142">
        <v>1</v>
      </c>
      <c r="E78" s="141" t="s">
        <v>72</v>
      </c>
      <c r="F78" s="137">
        <f>67973*1.3</f>
        <v>88364.900000000009</v>
      </c>
      <c r="G78" s="137">
        <f t="shared" si="3"/>
        <v>88364.900000000009</v>
      </c>
    </row>
    <row r="79" spans="1:7" ht="12.75" customHeight="1" x14ac:dyDescent="0.3">
      <c r="A79" s="25"/>
      <c r="B79" s="65" t="s">
        <v>121</v>
      </c>
      <c r="C79" s="66" t="s">
        <v>103</v>
      </c>
      <c r="D79" s="67">
        <v>12</v>
      </c>
      <c r="E79" s="66" t="s">
        <v>72</v>
      </c>
      <c r="F79" s="68">
        <v>12000</v>
      </c>
      <c r="G79" s="68">
        <f t="shared" si="3"/>
        <v>144000</v>
      </c>
    </row>
    <row r="80" spans="1:7" ht="13.5" customHeight="1" x14ac:dyDescent="0.3">
      <c r="A80" s="5"/>
      <c r="B80" s="69" t="s">
        <v>34</v>
      </c>
      <c r="C80" s="70"/>
      <c r="D80" s="70"/>
      <c r="E80" s="70"/>
      <c r="F80" s="71"/>
      <c r="G80" s="72">
        <f>SUM(G45:G79)</f>
        <v>9595727.5779999997</v>
      </c>
    </row>
    <row r="81" spans="1:7" ht="12" customHeight="1" x14ac:dyDescent="0.3">
      <c r="A81" s="2"/>
      <c r="B81" s="51"/>
      <c r="C81" s="52"/>
      <c r="D81" s="52"/>
      <c r="E81" s="73"/>
      <c r="F81" s="53"/>
      <c r="G81" s="53"/>
    </row>
    <row r="82" spans="1:7" ht="12" customHeight="1" x14ac:dyDescent="0.3">
      <c r="A82" s="138" t="s">
        <v>86</v>
      </c>
      <c r="B82" s="51"/>
      <c r="C82" s="52"/>
      <c r="D82" s="52"/>
      <c r="E82" s="73"/>
      <c r="F82" s="53"/>
      <c r="G82" s="53"/>
    </row>
    <row r="83" spans="1:7" ht="12" customHeight="1" x14ac:dyDescent="0.3">
      <c r="A83" s="5"/>
      <c r="B83" s="40" t="s">
        <v>35</v>
      </c>
      <c r="C83" s="41"/>
      <c r="D83" s="42"/>
      <c r="E83" s="42"/>
      <c r="F83" s="43"/>
      <c r="G83" s="43"/>
    </row>
    <row r="84" spans="1:7" ht="24" customHeight="1" x14ac:dyDescent="0.3">
      <c r="A84" s="5"/>
      <c r="B84" s="54" t="s">
        <v>36</v>
      </c>
      <c r="C84" s="55" t="s">
        <v>28</v>
      </c>
      <c r="D84" s="55" t="s">
        <v>29</v>
      </c>
      <c r="E84" s="54" t="s">
        <v>17</v>
      </c>
      <c r="F84" s="55" t="s">
        <v>18</v>
      </c>
      <c r="G84" s="54" t="s">
        <v>19</v>
      </c>
    </row>
    <row r="85" spans="1:7" ht="12.75" customHeight="1" x14ac:dyDescent="0.3">
      <c r="A85" s="25"/>
      <c r="B85" s="134"/>
      <c r="C85" s="60"/>
      <c r="D85" s="62"/>
      <c r="E85" s="33"/>
      <c r="F85" s="74"/>
      <c r="G85" s="62"/>
    </row>
    <row r="86" spans="1:7" ht="12.75" customHeight="1" x14ac:dyDescent="0.3">
      <c r="A86" s="25"/>
      <c r="B86" s="134"/>
      <c r="C86" s="60"/>
      <c r="D86" s="62"/>
      <c r="E86" s="33"/>
      <c r="F86" s="74"/>
      <c r="G86" s="62"/>
    </row>
    <row r="87" spans="1:7" ht="12.75" customHeight="1" x14ac:dyDescent="0.3">
      <c r="A87" s="25"/>
      <c r="B87" s="12"/>
      <c r="C87" s="60"/>
      <c r="D87" s="62"/>
      <c r="E87" s="33"/>
      <c r="F87" s="74"/>
      <c r="G87" s="62"/>
    </row>
    <row r="88" spans="1:7" ht="13.5" customHeight="1" x14ac:dyDescent="0.3">
      <c r="A88" s="5"/>
      <c r="B88" s="75" t="s">
        <v>37</v>
      </c>
      <c r="C88" s="76"/>
      <c r="D88" s="76"/>
      <c r="E88" s="76"/>
      <c r="F88" s="77"/>
      <c r="G88" s="78">
        <f>SUM(G87)</f>
        <v>0</v>
      </c>
    </row>
    <row r="89" spans="1:7" ht="12" customHeight="1" x14ac:dyDescent="0.3">
      <c r="A89" s="2"/>
      <c r="B89" s="95"/>
      <c r="C89" s="95"/>
      <c r="D89" s="95"/>
      <c r="E89" s="95"/>
      <c r="F89" s="96"/>
      <c r="G89" s="96"/>
    </row>
    <row r="90" spans="1:7" ht="12" customHeight="1" x14ac:dyDescent="0.3">
      <c r="A90" s="92"/>
      <c r="B90" s="97" t="s">
        <v>38</v>
      </c>
      <c r="C90" s="98"/>
      <c r="D90" s="98"/>
      <c r="E90" s="98"/>
      <c r="F90" s="98"/>
      <c r="G90" s="99">
        <f>G30+G41+G80+G88</f>
        <v>13345839.578</v>
      </c>
    </row>
    <row r="91" spans="1:7" ht="12" customHeight="1" x14ac:dyDescent="0.3">
      <c r="A91" s="92"/>
      <c r="B91" s="100" t="s">
        <v>39</v>
      </c>
      <c r="C91" s="80"/>
      <c r="D91" s="80"/>
      <c r="E91" s="80"/>
      <c r="F91" s="80"/>
      <c r="G91" s="101">
        <f>G90*0.05</f>
        <v>667291.97889999999</v>
      </c>
    </row>
    <row r="92" spans="1:7" ht="12" customHeight="1" x14ac:dyDescent="0.3">
      <c r="A92" s="92"/>
      <c r="B92" s="102" t="s">
        <v>40</v>
      </c>
      <c r="C92" s="79"/>
      <c r="D92" s="79"/>
      <c r="E92" s="79"/>
      <c r="F92" s="79"/>
      <c r="G92" s="103">
        <f>G91+G90</f>
        <v>14013131.5569</v>
      </c>
    </row>
    <row r="93" spans="1:7" ht="12" customHeight="1" x14ac:dyDescent="0.3">
      <c r="A93" s="92"/>
      <c r="B93" s="100" t="s">
        <v>41</v>
      </c>
      <c r="C93" s="80"/>
      <c r="D93" s="80"/>
      <c r="E93" s="80"/>
      <c r="F93" s="80"/>
      <c r="G93" s="101">
        <f>G12</f>
        <v>18000000</v>
      </c>
    </row>
    <row r="94" spans="1:7" ht="12" customHeight="1" x14ac:dyDescent="0.3">
      <c r="A94" s="92"/>
      <c r="B94" s="104" t="s">
        <v>42</v>
      </c>
      <c r="C94" s="105"/>
      <c r="D94" s="105"/>
      <c r="E94" s="105"/>
      <c r="F94" s="105"/>
      <c r="G94" s="106">
        <f>G93-G92</f>
        <v>3986868.4430999998</v>
      </c>
    </row>
    <row r="95" spans="1:7" ht="12" customHeight="1" x14ac:dyDescent="0.3">
      <c r="A95" s="92"/>
      <c r="B95" s="93" t="s">
        <v>43</v>
      </c>
      <c r="C95" s="94"/>
      <c r="D95" s="94"/>
      <c r="E95" s="94"/>
      <c r="F95" s="94"/>
      <c r="G95" s="89">
        <f ca="1">+G94:G95/12</f>
        <v>0</v>
      </c>
    </row>
    <row r="96" spans="1:7" ht="12.75" customHeight="1" thickBot="1" x14ac:dyDescent="0.35">
      <c r="A96" s="92"/>
      <c r="B96" s="107"/>
      <c r="C96" s="94"/>
      <c r="D96" s="94"/>
      <c r="E96" s="94"/>
      <c r="F96" s="94"/>
      <c r="G96" s="89"/>
    </row>
    <row r="97" spans="1:7" ht="12" customHeight="1" x14ac:dyDescent="0.3">
      <c r="A97" s="92"/>
      <c r="B97" s="119" t="s">
        <v>44</v>
      </c>
      <c r="C97" s="120"/>
      <c r="D97" s="120"/>
      <c r="E97" s="120"/>
      <c r="F97" s="121"/>
      <c r="G97" s="89"/>
    </row>
    <row r="98" spans="1:7" ht="12" customHeight="1" x14ac:dyDescent="0.3">
      <c r="A98" s="92"/>
      <c r="B98" s="122" t="s">
        <v>45</v>
      </c>
      <c r="C98" s="91"/>
      <c r="D98" s="91"/>
      <c r="E98" s="91"/>
      <c r="F98" s="123"/>
      <c r="G98" s="89"/>
    </row>
    <row r="99" spans="1:7" ht="12" customHeight="1" x14ac:dyDescent="0.3">
      <c r="A99" s="92"/>
      <c r="B99" s="122" t="s">
        <v>46</v>
      </c>
      <c r="C99" s="91"/>
      <c r="D99" s="91"/>
      <c r="E99" s="91"/>
      <c r="F99" s="123"/>
      <c r="G99" s="89"/>
    </row>
    <row r="100" spans="1:7" ht="12" customHeight="1" x14ac:dyDescent="0.3">
      <c r="A100" s="92"/>
      <c r="B100" s="122" t="s">
        <v>47</v>
      </c>
      <c r="C100" s="91"/>
      <c r="D100" s="91"/>
      <c r="E100" s="91"/>
      <c r="F100" s="123"/>
      <c r="G100" s="89"/>
    </row>
    <row r="101" spans="1:7" ht="12" customHeight="1" x14ac:dyDescent="0.3">
      <c r="A101" s="92"/>
      <c r="B101" s="122" t="s">
        <v>48</v>
      </c>
      <c r="C101" s="91"/>
      <c r="D101" s="91"/>
      <c r="E101" s="91"/>
      <c r="F101" s="123"/>
      <c r="G101" s="89"/>
    </row>
    <row r="102" spans="1:7" ht="12" customHeight="1" x14ac:dyDescent="0.3">
      <c r="A102" s="92"/>
      <c r="B102" s="122" t="s">
        <v>49</v>
      </c>
      <c r="C102" s="91"/>
      <c r="D102" s="91"/>
      <c r="E102" s="91"/>
      <c r="F102" s="123"/>
      <c r="G102" s="89"/>
    </row>
    <row r="103" spans="1:7" ht="12.75" customHeight="1" thickBot="1" x14ac:dyDescent="0.35">
      <c r="A103" s="92"/>
      <c r="B103" s="124" t="s">
        <v>50</v>
      </c>
      <c r="C103" s="125"/>
      <c r="D103" s="125"/>
      <c r="E103" s="125"/>
      <c r="F103" s="126"/>
      <c r="G103" s="89"/>
    </row>
    <row r="104" spans="1:7" ht="12.75" customHeight="1" x14ac:dyDescent="0.3">
      <c r="A104" s="92"/>
      <c r="B104" s="117"/>
      <c r="C104" s="91"/>
      <c r="D104" s="91"/>
      <c r="E104" s="91"/>
      <c r="F104" s="91"/>
      <c r="G104" s="89"/>
    </row>
    <row r="105" spans="1:7" ht="15" customHeight="1" thickBot="1" x14ac:dyDescent="0.35">
      <c r="A105" s="92"/>
      <c r="B105" s="157" t="s">
        <v>51</v>
      </c>
      <c r="C105" s="158"/>
      <c r="D105" s="116"/>
      <c r="E105" s="82"/>
      <c r="F105" s="82"/>
      <c r="G105" s="89"/>
    </row>
    <row r="106" spans="1:7" ht="12" customHeight="1" x14ac:dyDescent="0.3">
      <c r="A106" s="92"/>
      <c r="B106" s="109" t="s">
        <v>36</v>
      </c>
      <c r="C106" s="83" t="s">
        <v>52</v>
      </c>
      <c r="D106" s="110" t="s">
        <v>53</v>
      </c>
      <c r="E106" s="82"/>
      <c r="F106" s="82"/>
      <c r="G106" s="89"/>
    </row>
    <row r="107" spans="1:7" ht="12" customHeight="1" x14ac:dyDescent="0.3">
      <c r="A107" s="92"/>
      <c r="B107" s="111" t="s">
        <v>54</v>
      </c>
      <c r="C107" s="84">
        <f>+G30</f>
        <v>3550000</v>
      </c>
      <c r="D107" s="112">
        <f>(C107/C113)</f>
        <v>0.25333380947615503</v>
      </c>
      <c r="E107" s="82"/>
      <c r="F107" s="82"/>
      <c r="G107" s="89"/>
    </row>
    <row r="108" spans="1:7" ht="12" customHeight="1" x14ac:dyDescent="0.3">
      <c r="A108" s="92"/>
      <c r="B108" s="111" t="s">
        <v>55</v>
      </c>
      <c r="C108" s="85">
        <f>+G35</f>
        <v>0</v>
      </c>
      <c r="D108" s="112">
        <v>0</v>
      </c>
      <c r="E108" s="82"/>
      <c r="F108" s="82"/>
      <c r="G108" s="89"/>
    </row>
    <row r="109" spans="1:7" ht="12" customHeight="1" x14ac:dyDescent="0.3">
      <c r="A109" s="92"/>
      <c r="B109" s="111" t="s">
        <v>56</v>
      </c>
      <c r="C109" s="84">
        <f>+G41</f>
        <v>200112</v>
      </c>
      <c r="D109" s="112">
        <f>(C109/C113)</f>
        <v>1.428031979771615E-2</v>
      </c>
      <c r="E109" s="82"/>
      <c r="F109" s="82"/>
      <c r="G109" s="89"/>
    </row>
    <row r="110" spans="1:7" ht="12" customHeight="1" x14ac:dyDescent="0.3">
      <c r="A110" s="92"/>
      <c r="B110" s="111" t="s">
        <v>27</v>
      </c>
      <c r="C110" s="84">
        <f>+G80</f>
        <v>9595727.5779999997</v>
      </c>
      <c r="D110" s="112">
        <f>(C110/C113)</f>
        <v>0.68476682310708115</v>
      </c>
      <c r="E110" s="82"/>
      <c r="F110" s="82"/>
      <c r="G110" s="89"/>
    </row>
    <row r="111" spans="1:7" ht="12" customHeight="1" x14ac:dyDescent="0.3">
      <c r="A111" s="92"/>
      <c r="B111" s="111" t="s">
        <v>57</v>
      </c>
      <c r="C111" s="86">
        <f>+G88</f>
        <v>0</v>
      </c>
      <c r="D111" s="112">
        <f>(C111/C113)</f>
        <v>0</v>
      </c>
      <c r="E111" s="88"/>
      <c r="F111" s="88"/>
      <c r="G111" s="89"/>
    </row>
    <row r="112" spans="1:7" ht="12" customHeight="1" x14ac:dyDescent="0.3">
      <c r="A112" s="92"/>
      <c r="B112" s="111" t="s">
        <v>58</v>
      </c>
      <c r="C112" s="86">
        <f>+G91</f>
        <v>667291.97889999999</v>
      </c>
      <c r="D112" s="112">
        <f>(C112/C113)</f>
        <v>4.7619047619047616E-2</v>
      </c>
      <c r="E112" s="88"/>
      <c r="F112" s="88"/>
      <c r="G112" s="89"/>
    </row>
    <row r="113" spans="1:7" ht="12.75" customHeight="1" thickBot="1" x14ac:dyDescent="0.35">
      <c r="A113" s="92"/>
      <c r="B113" s="113" t="s">
        <v>59</v>
      </c>
      <c r="C113" s="114">
        <f>SUM(C107:C112)</f>
        <v>14013131.5569</v>
      </c>
      <c r="D113" s="115">
        <f>SUM(D107:D112)</f>
        <v>1</v>
      </c>
      <c r="E113" s="88"/>
      <c r="F113" s="88"/>
      <c r="G113" s="89"/>
    </row>
    <row r="114" spans="1:7" ht="12" customHeight="1" x14ac:dyDescent="0.3">
      <c r="A114" s="92"/>
      <c r="B114" s="107"/>
      <c r="C114" s="94"/>
      <c r="D114" s="94"/>
      <c r="E114" s="94"/>
      <c r="F114" s="94"/>
      <c r="G114" s="89"/>
    </row>
    <row r="115" spans="1:7" ht="12.75" customHeight="1" x14ac:dyDescent="0.3">
      <c r="A115" s="92"/>
      <c r="B115" s="108"/>
      <c r="C115" s="94"/>
      <c r="D115" s="94"/>
      <c r="E115" s="94"/>
      <c r="F115" s="94"/>
      <c r="G115" s="89"/>
    </row>
    <row r="116" spans="1:7" ht="12" customHeight="1" thickBot="1" x14ac:dyDescent="0.35">
      <c r="A116" s="81"/>
      <c r="B116" s="128"/>
      <c r="C116" s="129" t="s">
        <v>60</v>
      </c>
      <c r="D116" s="130"/>
      <c r="E116" s="131"/>
      <c r="F116" s="87"/>
      <c r="G116" s="89"/>
    </row>
    <row r="117" spans="1:7" ht="12" customHeight="1" thickBot="1" x14ac:dyDescent="0.35">
      <c r="A117" s="92"/>
      <c r="B117" s="132" t="s">
        <v>100</v>
      </c>
      <c r="C117" s="143">
        <f>4000*5*4</f>
        <v>80000</v>
      </c>
      <c r="D117" s="143">
        <f>4000*5*6</f>
        <v>120000</v>
      </c>
      <c r="E117" s="143">
        <f>4000*5*8</f>
        <v>160000</v>
      </c>
      <c r="F117" s="127"/>
      <c r="G117" s="90"/>
    </row>
    <row r="118" spans="1:7" ht="12.75" customHeight="1" thickBot="1" x14ac:dyDescent="0.35">
      <c r="A118" s="92"/>
      <c r="B118" s="113" t="s">
        <v>101</v>
      </c>
      <c r="C118" s="114">
        <f>+C113/C117</f>
        <v>175.16414446125</v>
      </c>
      <c r="D118" s="114">
        <f>+C113/D117</f>
        <v>116.7760963075</v>
      </c>
      <c r="E118" s="143">
        <f>+C113/E117</f>
        <v>87.582072230625002</v>
      </c>
      <c r="F118" s="127"/>
      <c r="G118" s="90"/>
    </row>
    <row r="119" spans="1:7" ht="15.6" customHeight="1" x14ac:dyDescent="0.3">
      <c r="A119" s="92"/>
      <c r="B119" s="118" t="s">
        <v>61</v>
      </c>
      <c r="C119" s="91"/>
      <c r="D119" s="91"/>
      <c r="E119" s="91"/>
      <c r="F119" s="91"/>
      <c r="G119" s="91"/>
    </row>
  </sheetData>
  <mergeCells count="8">
    <mergeCell ref="B105:C10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19"/>
  <sheetViews>
    <sheetView tabSelected="1" topLeftCell="A70" zoomScale="110" zoomScaleNormal="110" workbookViewId="0">
      <selection activeCell="J12" sqref="J12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4.33203125" style="1" customWidth="1"/>
    <col min="8" max="255" width="10.88671875" style="1" customWidth="1"/>
  </cols>
  <sheetData>
    <row r="1" spans="1:7" ht="15" customHeight="1" x14ac:dyDescent="0.3">
      <c r="A1" s="2"/>
      <c r="B1" s="2"/>
      <c r="C1" s="2"/>
      <c r="D1" s="2"/>
      <c r="E1" s="2"/>
      <c r="F1" s="2"/>
      <c r="G1" s="2"/>
    </row>
    <row r="2" spans="1:7" ht="15" customHeight="1" x14ac:dyDescent="0.3">
      <c r="A2" s="2"/>
      <c r="B2" s="2"/>
      <c r="C2" s="2"/>
      <c r="D2" s="2"/>
      <c r="E2" s="2"/>
      <c r="F2" s="2"/>
      <c r="G2" s="2"/>
    </row>
    <row r="3" spans="1:7" ht="15" customHeight="1" x14ac:dyDescent="0.3">
      <c r="A3" s="2"/>
      <c r="B3" s="2"/>
      <c r="C3" s="2"/>
      <c r="D3" s="2"/>
      <c r="E3" s="2"/>
      <c r="F3" s="2"/>
      <c r="G3" s="2"/>
    </row>
    <row r="4" spans="1:7" ht="15" customHeight="1" x14ac:dyDescent="0.3">
      <c r="A4" s="2"/>
      <c r="B4" s="2"/>
      <c r="C4" s="2"/>
      <c r="D4" s="2"/>
      <c r="E4" s="2"/>
      <c r="F4" s="2"/>
      <c r="G4" s="2"/>
    </row>
    <row r="5" spans="1:7" ht="15" customHeight="1" x14ac:dyDescent="0.3">
      <c r="A5" s="2"/>
      <c r="B5" s="2"/>
      <c r="C5" s="2"/>
      <c r="D5" s="2"/>
      <c r="E5" s="2"/>
      <c r="F5" s="2"/>
      <c r="G5" s="2"/>
    </row>
    <row r="6" spans="1:7" ht="15" customHeight="1" x14ac:dyDescent="0.3">
      <c r="A6" s="2"/>
      <c r="B6" s="2"/>
      <c r="C6" s="2"/>
      <c r="D6" s="2"/>
      <c r="E6" s="2"/>
      <c r="F6" s="2"/>
      <c r="G6" s="2"/>
    </row>
    <row r="7" spans="1:7" ht="15" customHeight="1" x14ac:dyDescent="0.3">
      <c r="A7" s="2"/>
      <c r="B7" s="2"/>
      <c r="C7" s="2"/>
      <c r="D7" s="2"/>
      <c r="E7" s="2"/>
      <c r="F7" s="2"/>
      <c r="G7" s="2"/>
    </row>
    <row r="8" spans="1:7" ht="15" customHeight="1" x14ac:dyDescent="0.3">
      <c r="A8" s="2"/>
      <c r="B8" s="3"/>
      <c r="C8" s="4"/>
      <c r="D8" s="2"/>
      <c r="E8" s="4"/>
      <c r="F8" s="4"/>
      <c r="G8" s="4"/>
    </row>
    <row r="9" spans="1:7" ht="14.4" x14ac:dyDescent="0.3">
      <c r="A9" s="5"/>
      <c r="B9" s="6" t="s">
        <v>0</v>
      </c>
      <c r="C9" s="146" t="s">
        <v>135</v>
      </c>
      <c r="D9" s="7"/>
      <c r="E9" s="167" t="s">
        <v>102</v>
      </c>
      <c r="F9" s="168"/>
      <c r="G9" s="8">
        <f>+D117</f>
        <v>120000</v>
      </c>
    </row>
    <row r="10" spans="1:7" ht="14.4" x14ac:dyDescent="0.3">
      <c r="A10" s="5"/>
      <c r="B10" s="9" t="s">
        <v>1</v>
      </c>
      <c r="C10" s="10" t="s">
        <v>108</v>
      </c>
      <c r="D10" s="11"/>
      <c r="E10" s="159" t="s">
        <v>2</v>
      </c>
      <c r="F10" s="160"/>
      <c r="G10" s="13" t="s">
        <v>64</v>
      </c>
    </row>
    <row r="11" spans="1:7" ht="14.4" x14ac:dyDescent="0.3">
      <c r="A11" s="5"/>
      <c r="B11" s="9" t="s">
        <v>3</v>
      </c>
      <c r="C11" s="13" t="s">
        <v>4</v>
      </c>
      <c r="D11" s="11"/>
      <c r="E11" s="159" t="s">
        <v>65</v>
      </c>
      <c r="F11" s="160"/>
      <c r="G11" s="14">
        <v>120</v>
      </c>
    </row>
    <row r="12" spans="1:7" ht="14.4" x14ac:dyDescent="0.3">
      <c r="A12" s="5"/>
      <c r="B12" s="9" t="s">
        <v>5</v>
      </c>
      <c r="C12" s="15" t="s">
        <v>63</v>
      </c>
      <c r="D12" s="11"/>
      <c r="E12" s="148" t="s">
        <v>6</v>
      </c>
      <c r="F12" s="149"/>
      <c r="G12" s="18">
        <f>+G11*G9</f>
        <v>14400000</v>
      </c>
    </row>
    <row r="13" spans="1:7" ht="30" customHeight="1" x14ac:dyDescent="0.3">
      <c r="A13" s="5"/>
      <c r="B13" s="9" t="s">
        <v>7</v>
      </c>
      <c r="C13" s="13" t="s">
        <v>137</v>
      </c>
      <c r="D13" s="11"/>
      <c r="E13" s="159" t="s">
        <v>8</v>
      </c>
      <c r="F13" s="160"/>
      <c r="G13" s="15" t="s">
        <v>66</v>
      </c>
    </row>
    <row r="14" spans="1:7" ht="14.4" x14ac:dyDescent="0.3">
      <c r="A14" s="5"/>
      <c r="B14" s="9" t="s">
        <v>9</v>
      </c>
      <c r="C14" s="13" t="s">
        <v>62</v>
      </c>
      <c r="D14" s="11"/>
      <c r="E14" s="159" t="s">
        <v>10</v>
      </c>
      <c r="F14" s="160"/>
      <c r="G14" s="13" t="s">
        <v>64</v>
      </c>
    </row>
    <row r="15" spans="1:7" ht="14.4" x14ac:dyDescent="0.3">
      <c r="A15" s="5"/>
      <c r="B15" s="9" t="s">
        <v>11</v>
      </c>
      <c r="C15" s="19">
        <v>44727</v>
      </c>
      <c r="D15" s="11"/>
      <c r="E15" s="163" t="s">
        <v>12</v>
      </c>
      <c r="F15" s="164"/>
      <c r="G15" s="15" t="s">
        <v>139</v>
      </c>
    </row>
    <row r="16" spans="1:7" ht="12" customHeight="1" x14ac:dyDescent="0.3">
      <c r="A16" s="2"/>
      <c r="B16" s="20"/>
      <c r="C16" s="21"/>
      <c r="D16" s="22"/>
      <c r="E16" s="23"/>
      <c r="F16" s="23"/>
      <c r="G16" s="24"/>
    </row>
    <row r="17" spans="1:8" ht="12" customHeight="1" x14ac:dyDescent="0.3">
      <c r="A17" s="25"/>
      <c r="B17" s="165" t="s">
        <v>107</v>
      </c>
      <c r="C17" s="166"/>
      <c r="D17" s="166"/>
      <c r="E17" s="166"/>
      <c r="F17" s="166"/>
      <c r="G17" s="166"/>
    </row>
    <row r="18" spans="1:8" ht="12" customHeight="1" x14ac:dyDescent="0.3">
      <c r="A18" s="2"/>
      <c r="B18" s="26"/>
      <c r="C18" s="27"/>
      <c r="D18" s="27"/>
      <c r="E18" s="27"/>
      <c r="F18" s="28"/>
      <c r="G18" s="28"/>
    </row>
    <row r="19" spans="1:8" ht="12" customHeight="1" x14ac:dyDescent="0.3">
      <c r="A19" s="5"/>
      <c r="B19" s="29" t="s">
        <v>13</v>
      </c>
      <c r="C19" s="30"/>
      <c r="D19" s="31"/>
      <c r="E19" s="31"/>
      <c r="F19" s="31"/>
      <c r="G19" s="31"/>
    </row>
    <row r="20" spans="1:8" ht="24" customHeight="1" x14ac:dyDescent="0.3">
      <c r="A20" s="25"/>
      <c r="B20" s="32" t="s">
        <v>14</v>
      </c>
      <c r="C20" s="32" t="s">
        <v>15</v>
      </c>
      <c r="D20" s="32" t="s">
        <v>16</v>
      </c>
      <c r="E20" s="32" t="s">
        <v>17</v>
      </c>
      <c r="F20" s="32" t="s">
        <v>18</v>
      </c>
      <c r="G20" s="32" t="s">
        <v>19</v>
      </c>
    </row>
    <row r="21" spans="1:8" ht="12.75" customHeight="1" x14ac:dyDescent="0.3">
      <c r="A21" s="25"/>
      <c r="B21" s="147" t="s">
        <v>67</v>
      </c>
      <c r="C21" s="33" t="s">
        <v>20</v>
      </c>
      <c r="D21" s="34">
        <v>5</v>
      </c>
      <c r="E21" s="147" t="s">
        <v>112</v>
      </c>
      <c r="F21" s="18">
        <v>26000</v>
      </c>
      <c r="G21" s="18">
        <f>+F21*D21</f>
        <v>130000</v>
      </c>
    </row>
    <row r="22" spans="1:8" ht="12.75" customHeight="1" x14ac:dyDescent="0.3">
      <c r="A22" s="25"/>
      <c r="B22" s="147" t="s">
        <v>109</v>
      </c>
      <c r="C22" s="33" t="s">
        <v>20</v>
      </c>
      <c r="D22" s="34">
        <v>2</v>
      </c>
      <c r="E22" s="147" t="s">
        <v>113</v>
      </c>
      <c r="F22" s="18">
        <v>26000</v>
      </c>
      <c r="G22" s="18">
        <f>+F22*D22</f>
        <v>52000</v>
      </c>
    </row>
    <row r="23" spans="1:8" ht="12.75" customHeight="1" x14ac:dyDescent="0.3">
      <c r="A23" s="25"/>
      <c r="B23" s="147" t="s">
        <v>70</v>
      </c>
      <c r="C23" s="33" t="s">
        <v>20</v>
      </c>
      <c r="D23" s="34">
        <v>2</v>
      </c>
      <c r="E23" s="147" t="s">
        <v>114</v>
      </c>
      <c r="F23" s="18">
        <v>26000</v>
      </c>
      <c r="G23" s="18">
        <f>+F23*D23</f>
        <v>52000</v>
      </c>
    </row>
    <row r="24" spans="1:8" ht="12.75" customHeight="1" x14ac:dyDescent="0.3">
      <c r="A24" s="25"/>
      <c r="B24" s="147" t="s">
        <v>68</v>
      </c>
      <c r="C24" s="33" t="s">
        <v>20</v>
      </c>
      <c r="D24" s="34">
        <v>10</v>
      </c>
      <c r="E24" s="147" t="s">
        <v>115</v>
      </c>
      <c r="F24" s="18">
        <v>26000</v>
      </c>
      <c r="G24" s="18">
        <f t="shared" ref="G24:G29" si="0">+F24*D24</f>
        <v>260000</v>
      </c>
    </row>
    <row r="25" spans="1:8" ht="12.75" customHeight="1" x14ac:dyDescent="0.3">
      <c r="A25" s="25"/>
      <c r="B25" s="147" t="s">
        <v>110</v>
      </c>
      <c r="C25" s="33" t="s">
        <v>20</v>
      </c>
      <c r="D25" s="34">
        <f>4000*5*6/4000</f>
        <v>30</v>
      </c>
      <c r="E25" s="147" t="s">
        <v>115</v>
      </c>
      <c r="F25" s="18">
        <v>26000</v>
      </c>
      <c r="G25" s="18">
        <f t="shared" si="0"/>
        <v>780000</v>
      </c>
    </row>
    <row r="26" spans="1:8" ht="12.75" customHeight="1" x14ac:dyDescent="0.3">
      <c r="A26" s="25"/>
      <c r="B26" s="147" t="s">
        <v>111</v>
      </c>
      <c r="C26" s="33" t="s">
        <v>20</v>
      </c>
      <c r="D26" s="34">
        <v>10</v>
      </c>
      <c r="E26" s="147" t="s">
        <v>64</v>
      </c>
      <c r="F26" s="18">
        <v>26000</v>
      </c>
      <c r="G26" s="18">
        <f t="shared" si="0"/>
        <v>260000</v>
      </c>
    </row>
    <row r="27" spans="1:8" ht="12.75" customHeight="1" x14ac:dyDescent="0.3">
      <c r="A27" s="25"/>
      <c r="B27" s="147" t="s">
        <v>69</v>
      </c>
      <c r="C27" s="33" t="s">
        <v>20</v>
      </c>
      <c r="D27" s="34">
        <f>4000*5*4/1600</f>
        <v>50</v>
      </c>
      <c r="E27" s="147" t="s">
        <v>64</v>
      </c>
      <c r="F27" s="18">
        <v>26000</v>
      </c>
      <c r="G27" s="18">
        <f t="shared" si="0"/>
        <v>1300000</v>
      </c>
    </row>
    <row r="28" spans="1:8" ht="12.75" customHeight="1" x14ac:dyDescent="0.3">
      <c r="A28" s="25"/>
      <c r="B28" s="139" t="s">
        <v>87</v>
      </c>
      <c r="C28" s="33" t="s">
        <v>20</v>
      </c>
      <c r="D28" s="34">
        <v>30</v>
      </c>
      <c r="E28" s="147" t="s">
        <v>64</v>
      </c>
      <c r="F28" s="18">
        <v>26000</v>
      </c>
      <c r="G28" s="18">
        <f t="shared" si="0"/>
        <v>780000</v>
      </c>
    </row>
    <row r="29" spans="1:8" ht="12.75" customHeight="1" x14ac:dyDescent="0.3">
      <c r="A29" s="25"/>
      <c r="B29" s="139" t="s">
        <v>88</v>
      </c>
      <c r="C29" s="33" t="s">
        <v>20</v>
      </c>
      <c r="D29" s="34">
        <f>30000*5/20000</f>
        <v>7.5</v>
      </c>
      <c r="E29" s="147" t="s">
        <v>64</v>
      </c>
      <c r="F29" s="18">
        <v>40000</v>
      </c>
      <c r="G29" s="18">
        <f t="shared" si="0"/>
        <v>300000</v>
      </c>
    </row>
    <row r="30" spans="1:8" ht="12.75" customHeight="1" x14ac:dyDescent="0.3">
      <c r="A30" s="25"/>
      <c r="B30" s="35" t="s">
        <v>21</v>
      </c>
      <c r="C30" s="36"/>
      <c r="D30" s="36"/>
      <c r="E30" s="36"/>
      <c r="F30" s="37"/>
      <c r="G30" s="38">
        <f>SUM(G24:G29)</f>
        <v>3680000</v>
      </c>
      <c r="H30" s="145"/>
    </row>
    <row r="31" spans="1:8" ht="12" customHeight="1" x14ac:dyDescent="0.3">
      <c r="A31" s="2"/>
      <c r="B31" s="26"/>
      <c r="C31" s="28"/>
      <c r="D31" s="28"/>
      <c r="E31" s="28"/>
      <c r="F31" s="39"/>
      <c r="G31" s="39"/>
    </row>
    <row r="32" spans="1:8" ht="12" customHeight="1" x14ac:dyDescent="0.3">
      <c r="A32" s="5"/>
      <c r="B32" s="40" t="s">
        <v>22</v>
      </c>
      <c r="C32" s="41"/>
      <c r="D32" s="42"/>
      <c r="E32" s="42"/>
      <c r="F32" s="43"/>
      <c r="G32" s="43"/>
    </row>
    <row r="33" spans="1:11" ht="24" customHeight="1" x14ac:dyDescent="0.3">
      <c r="A33" s="5"/>
      <c r="B33" s="44" t="s">
        <v>14</v>
      </c>
      <c r="C33" s="45" t="s">
        <v>15</v>
      </c>
      <c r="D33" s="45" t="s">
        <v>16</v>
      </c>
      <c r="E33" s="44" t="s">
        <v>17</v>
      </c>
      <c r="F33" s="45" t="s">
        <v>18</v>
      </c>
      <c r="G33" s="44" t="s">
        <v>19</v>
      </c>
    </row>
    <row r="34" spans="1:11" ht="12" customHeight="1" x14ac:dyDescent="0.3">
      <c r="A34" s="5"/>
      <c r="B34" s="46"/>
      <c r="C34" s="47"/>
      <c r="D34" s="47"/>
      <c r="E34" s="47"/>
      <c r="F34" s="46"/>
      <c r="G34" s="46"/>
    </row>
    <row r="35" spans="1:11" ht="12" customHeight="1" x14ac:dyDescent="0.3">
      <c r="A35" s="5"/>
      <c r="B35" s="48" t="s">
        <v>23</v>
      </c>
      <c r="C35" s="49"/>
      <c r="D35" s="49"/>
      <c r="E35" s="49"/>
      <c r="F35" s="50"/>
      <c r="G35" s="50"/>
    </row>
    <row r="36" spans="1:11" ht="12" customHeight="1" x14ac:dyDescent="0.3">
      <c r="A36" s="2"/>
      <c r="B36" s="51"/>
      <c r="C36" s="52"/>
      <c r="D36" s="52"/>
      <c r="E36" s="52"/>
      <c r="F36" s="53"/>
      <c r="G36" s="53"/>
    </row>
    <row r="37" spans="1:11" ht="12" customHeight="1" x14ac:dyDescent="0.3">
      <c r="A37" s="5"/>
      <c r="B37" s="40" t="s">
        <v>24</v>
      </c>
      <c r="C37" s="41"/>
      <c r="D37" s="42"/>
      <c r="E37" s="42"/>
      <c r="F37" s="43"/>
      <c r="G37" s="43"/>
    </row>
    <row r="38" spans="1:11" ht="24" customHeight="1" x14ac:dyDescent="0.3">
      <c r="A38" s="5"/>
      <c r="B38" s="54" t="s">
        <v>14</v>
      </c>
      <c r="C38" s="54" t="s">
        <v>15</v>
      </c>
      <c r="D38" s="54" t="s">
        <v>16</v>
      </c>
      <c r="E38" s="54" t="s">
        <v>17</v>
      </c>
      <c r="F38" s="55" t="s">
        <v>18</v>
      </c>
      <c r="G38" s="54" t="s">
        <v>19</v>
      </c>
    </row>
    <row r="39" spans="1:11" ht="12.75" customHeight="1" x14ac:dyDescent="0.3">
      <c r="A39" s="25"/>
      <c r="B39" s="147" t="s">
        <v>71</v>
      </c>
      <c r="C39" s="33" t="s">
        <v>140</v>
      </c>
      <c r="D39" s="34">
        <v>1.137</v>
      </c>
      <c r="E39" s="15" t="s">
        <v>116</v>
      </c>
      <c r="F39" s="18">
        <v>180000</v>
      </c>
      <c r="G39" s="18">
        <f>+F39*D39</f>
        <v>204660</v>
      </c>
    </row>
    <row r="40" spans="1:11" ht="12.75" customHeight="1" x14ac:dyDescent="0.3">
      <c r="A40" s="25"/>
      <c r="B40" s="147"/>
      <c r="C40" s="33"/>
      <c r="D40" s="34"/>
      <c r="E40" s="15"/>
      <c r="F40" s="18"/>
      <c r="G40" s="18"/>
    </row>
    <row r="41" spans="1:11" ht="12.75" customHeight="1" x14ac:dyDescent="0.3">
      <c r="A41" s="5"/>
      <c r="B41" s="56" t="s">
        <v>25</v>
      </c>
      <c r="C41" s="57"/>
      <c r="D41" s="57"/>
      <c r="E41" s="57"/>
      <c r="F41" s="58"/>
      <c r="G41" s="59">
        <f>SUM(G39:G40)</f>
        <v>204660</v>
      </c>
    </row>
    <row r="42" spans="1:11" ht="12" customHeight="1" x14ac:dyDescent="0.3">
      <c r="A42" s="2"/>
      <c r="B42" s="51"/>
      <c r="C42" s="52"/>
      <c r="D42" s="52"/>
      <c r="E42" s="52"/>
      <c r="F42" s="53"/>
      <c r="G42" s="53"/>
    </row>
    <row r="43" spans="1:11" ht="12" customHeight="1" x14ac:dyDescent="0.3">
      <c r="A43" s="5"/>
      <c r="B43" s="40" t="s">
        <v>26</v>
      </c>
      <c r="C43" s="41"/>
      <c r="D43" s="42"/>
      <c r="E43" s="42"/>
      <c r="F43" s="43"/>
      <c r="G43" s="43"/>
    </row>
    <row r="44" spans="1:11" ht="24" customHeight="1" x14ac:dyDescent="0.3">
      <c r="A44" s="5"/>
      <c r="B44" s="55" t="s">
        <v>27</v>
      </c>
      <c r="C44" s="55" t="s">
        <v>28</v>
      </c>
      <c r="D44" s="55" t="s">
        <v>29</v>
      </c>
      <c r="E44" s="55" t="s">
        <v>17</v>
      </c>
      <c r="F44" s="55" t="s">
        <v>18</v>
      </c>
      <c r="G44" s="55" t="s">
        <v>19</v>
      </c>
      <c r="K44" s="133"/>
    </row>
    <row r="45" spans="1:11" ht="12.75" customHeight="1" x14ac:dyDescent="0.3">
      <c r="A45" s="25"/>
      <c r="B45" s="148" t="s">
        <v>73</v>
      </c>
      <c r="C45" s="64" t="s">
        <v>74</v>
      </c>
      <c r="D45" s="153">
        <f>4000*5</f>
        <v>20000</v>
      </c>
      <c r="E45" s="64" t="s">
        <v>117</v>
      </c>
      <c r="F45" s="150">
        <v>300</v>
      </c>
      <c r="G45" s="62">
        <f>+F45*D45</f>
        <v>6000000</v>
      </c>
    </row>
    <row r="46" spans="1:11" ht="12.75" customHeight="1" x14ac:dyDescent="0.3">
      <c r="A46" s="25"/>
      <c r="B46" s="63" t="s">
        <v>30</v>
      </c>
      <c r="C46" s="64"/>
      <c r="D46" s="153"/>
      <c r="E46" s="64"/>
      <c r="F46" s="150"/>
      <c r="G46" s="62"/>
    </row>
    <row r="47" spans="1:11" ht="12.75" customHeight="1" x14ac:dyDescent="0.3">
      <c r="A47" s="25"/>
      <c r="B47" s="148" t="s">
        <v>75</v>
      </c>
      <c r="C47" s="64" t="s">
        <v>31</v>
      </c>
      <c r="D47" s="153">
        <v>75</v>
      </c>
      <c r="E47" s="64" t="s">
        <v>72</v>
      </c>
      <c r="F47" s="150">
        <v>1800</v>
      </c>
      <c r="G47" s="62">
        <f>+F47*D47</f>
        <v>135000</v>
      </c>
    </row>
    <row r="48" spans="1:11" ht="12.75" customHeight="1" x14ac:dyDescent="0.3">
      <c r="A48" s="25"/>
      <c r="B48" s="148" t="s">
        <v>76</v>
      </c>
      <c r="C48" s="64" t="s">
        <v>31</v>
      </c>
      <c r="D48" s="153">
        <v>25</v>
      </c>
      <c r="E48" s="64" t="s">
        <v>72</v>
      </c>
      <c r="F48" s="150">
        <v>1050</v>
      </c>
      <c r="G48" s="62">
        <f>+F48*D48</f>
        <v>26250</v>
      </c>
    </row>
    <row r="49" spans="1:7" ht="12.75" customHeight="1" x14ac:dyDescent="0.3">
      <c r="A49" s="25"/>
      <c r="B49" s="148" t="s">
        <v>77</v>
      </c>
      <c r="C49" s="60" t="s">
        <v>31</v>
      </c>
      <c r="D49" s="154">
        <v>25</v>
      </c>
      <c r="E49" s="60" t="s">
        <v>72</v>
      </c>
      <c r="F49" s="150">
        <v>800</v>
      </c>
      <c r="G49" s="62">
        <f>(D49*F49)</f>
        <v>20000</v>
      </c>
    </row>
    <row r="50" spans="1:7" ht="12.75" customHeight="1" x14ac:dyDescent="0.3">
      <c r="A50" s="25"/>
      <c r="B50" s="148" t="s">
        <v>78</v>
      </c>
      <c r="C50" s="60" t="s">
        <v>32</v>
      </c>
      <c r="D50" s="154">
        <v>25</v>
      </c>
      <c r="E50" s="60" t="s">
        <v>72</v>
      </c>
      <c r="F50" s="150">
        <v>2700</v>
      </c>
      <c r="G50" s="62">
        <f>(D50*F50)</f>
        <v>67500</v>
      </c>
    </row>
    <row r="51" spans="1:7" ht="12.75" customHeight="1" x14ac:dyDescent="0.3">
      <c r="A51" s="25"/>
      <c r="B51" s="148" t="s">
        <v>79</v>
      </c>
      <c r="C51" s="60" t="s">
        <v>31</v>
      </c>
      <c r="D51" s="154">
        <v>50</v>
      </c>
      <c r="E51" s="60" t="s">
        <v>72</v>
      </c>
      <c r="F51" s="150">
        <v>475</v>
      </c>
      <c r="G51" s="62">
        <f>+F51*D51</f>
        <v>23750</v>
      </c>
    </row>
    <row r="52" spans="1:7" ht="12.75" customHeight="1" x14ac:dyDescent="0.3">
      <c r="A52" s="25"/>
      <c r="B52" s="148" t="s">
        <v>129</v>
      </c>
      <c r="C52" s="60" t="s">
        <v>130</v>
      </c>
      <c r="D52" s="154">
        <v>1</v>
      </c>
      <c r="E52" s="60" t="s">
        <v>72</v>
      </c>
      <c r="F52" s="150">
        <v>28000</v>
      </c>
      <c r="G52" s="62">
        <f>+F52*D52</f>
        <v>28000</v>
      </c>
    </row>
    <row r="53" spans="1:7" ht="12.75" customHeight="1" x14ac:dyDescent="0.3">
      <c r="A53" s="25"/>
      <c r="B53" s="148" t="s">
        <v>132</v>
      </c>
      <c r="C53" s="60" t="s">
        <v>133</v>
      </c>
      <c r="D53" s="154">
        <v>2</v>
      </c>
      <c r="E53" s="60" t="s">
        <v>72</v>
      </c>
      <c r="F53" s="150">
        <v>42000</v>
      </c>
      <c r="G53" s="62">
        <f>+F53*D53</f>
        <v>84000</v>
      </c>
    </row>
    <row r="54" spans="1:7" ht="12.75" customHeight="1" x14ac:dyDescent="0.3">
      <c r="A54" s="25"/>
      <c r="B54" s="148"/>
      <c r="C54" s="60"/>
      <c r="D54" s="153"/>
      <c r="E54" s="60"/>
      <c r="F54" s="150"/>
      <c r="G54" s="62"/>
    </row>
    <row r="55" spans="1:7" ht="12.75" customHeight="1" x14ac:dyDescent="0.3">
      <c r="A55" s="25"/>
      <c r="B55" s="148"/>
      <c r="C55" s="60"/>
      <c r="D55" s="154">
        <v>1</v>
      </c>
      <c r="E55" s="60"/>
      <c r="F55" s="150">
        <v>22000</v>
      </c>
      <c r="G55" s="62"/>
    </row>
    <row r="56" spans="1:7" ht="12.75" customHeight="1" x14ac:dyDescent="0.3">
      <c r="A56" s="25"/>
      <c r="B56" s="63" t="s">
        <v>33</v>
      </c>
      <c r="C56" s="64"/>
      <c r="D56" s="154">
        <v>2</v>
      </c>
      <c r="E56" s="64"/>
      <c r="F56" s="150">
        <v>15800</v>
      </c>
      <c r="G56" s="62"/>
    </row>
    <row r="57" spans="1:7" ht="12.75" customHeight="1" x14ac:dyDescent="0.3">
      <c r="A57" s="25"/>
      <c r="B57" s="148" t="s">
        <v>80</v>
      </c>
      <c r="C57" s="60" t="s">
        <v>81</v>
      </c>
      <c r="D57" s="153"/>
      <c r="E57" s="60" t="s">
        <v>72</v>
      </c>
      <c r="F57" s="150"/>
      <c r="G57" s="62">
        <f>+F57*D57</f>
        <v>0</v>
      </c>
    </row>
    <row r="58" spans="1:7" ht="12.75" customHeight="1" x14ac:dyDescent="0.3">
      <c r="A58" s="25"/>
      <c r="B58" s="148" t="s">
        <v>82</v>
      </c>
      <c r="C58" s="60" t="s">
        <v>83</v>
      </c>
      <c r="D58" s="154">
        <v>0.5</v>
      </c>
      <c r="E58" s="60" t="s">
        <v>72</v>
      </c>
      <c r="F58" s="150">
        <v>308500</v>
      </c>
      <c r="G58" s="62">
        <f>+F58*D58</f>
        <v>154250</v>
      </c>
    </row>
    <row r="59" spans="1:7" ht="12.75" customHeight="1" x14ac:dyDescent="0.3">
      <c r="A59" s="25"/>
      <c r="B59" s="63" t="s">
        <v>96</v>
      </c>
      <c r="C59" s="64"/>
      <c r="D59" s="154">
        <v>1</v>
      </c>
      <c r="E59" s="64"/>
      <c r="F59" s="150">
        <v>37600</v>
      </c>
      <c r="G59" s="62"/>
    </row>
    <row r="60" spans="1:7" ht="12.75" customHeight="1" x14ac:dyDescent="0.3">
      <c r="A60" s="25"/>
      <c r="B60" s="148" t="s">
        <v>92</v>
      </c>
      <c r="C60" s="60" t="s">
        <v>93</v>
      </c>
      <c r="D60" s="154">
        <v>1</v>
      </c>
      <c r="E60" s="60" t="s">
        <v>72</v>
      </c>
      <c r="F60" s="150">
        <v>19800</v>
      </c>
      <c r="G60" s="144">
        <f t="shared" ref="G60:G68" si="1">+F60*D60</f>
        <v>19800</v>
      </c>
    </row>
    <row r="61" spans="1:7" ht="12.75" customHeight="1" x14ac:dyDescent="0.3">
      <c r="A61" s="25"/>
      <c r="B61" s="148" t="s">
        <v>127</v>
      </c>
      <c r="C61" s="60" t="s">
        <v>118</v>
      </c>
      <c r="D61" s="154">
        <v>1</v>
      </c>
      <c r="E61" s="60" t="s">
        <v>72</v>
      </c>
      <c r="F61" s="150">
        <v>44000</v>
      </c>
      <c r="G61" s="144">
        <f t="shared" si="1"/>
        <v>44000</v>
      </c>
    </row>
    <row r="62" spans="1:7" ht="12.75" customHeight="1" x14ac:dyDescent="0.3">
      <c r="A62" s="25"/>
      <c r="B62" s="148" t="s">
        <v>84</v>
      </c>
      <c r="C62" s="60" t="s">
        <v>93</v>
      </c>
      <c r="D62" s="154">
        <v>300</v>
      </c>
      <c r="E62" s="60" t="s">
        <v>72</v>
      </c>
      <c r="F62" s="150">
        <v>200</v>
      </c>
      <c r="G62" s="144">
        <f t="shared" si="1"/>
        <v>60000</v>
      </c>
    </row>
    <row r="63" spans="1:7" ht="12.75" customHeight="1" x14ac:dyDescent="0.3">
      <c r="A63" s="25"/>
      <c r="B63" s="148" t="s">
        <v>94</v>
      </c>
      <c r="C63" s="60" t="s">
        <v>95</v>
      </c>
      <c r="D63" s="154">
        <v>1</v>
      </c>
      <c r="E63" s="60" t="s">
        <v>72</v>
      </c>
      <c r="F63" s="150">
        <v>32800</v>
      </c>
      <c r="G63" s="144">
        <f t="shared" si="1"/>
        <v>32800</v>
      </c>
    </row>
    <row r="64" spans="1:7" ht="12.75" customHeight="1" x14ac:dyDescent="0.3">
      <c r="A64" s="25"/>
      <c r="B64" s="148" t="s">
        <v>97</v>
      </c>
      <c r="C64" s="60" t="s">
        <v>98</v>
      </c>
      <c r="D64" s="154">
        <v>1</v>
      </c>
      <c r="E64" s="60" t="s">
        <v>72</v>
      </c>
      <c r="F64" s="150">
        <v>56500</v>
      </c>
      <c r="G64" s="144">
        <f t="shared" si="1"/>
        <v>56500</v>
      </c>
    </row>
    <row r="65" spans="1:7" ht="12.75" customHeight="1" x14ac:dyDescent="0.3">
      <c r="A65" s="25"/>
      <c r="B65" s="148" t="s">
        <v>99</v>
      </c>
      <c r="C65" s="60" t="s">
        <v>93</v>
      </c>
      <c r="D65" s="154">
        <v>1</v>
      </c>
      <c r="E65" s="60" t="s">
        <v>72</v>
      </c>
      <c r="F65" s="150">
        <v>38000</v>
      </c>
      <c r="G65" s="144">
        <f t="shared" si="1"/>
        <v>38000</v>
      </c>
    </row>
    <row r="66" spans="1:7" ht="12.75" customHeight="1" x14ac:dyDescent="0.3">
      <c r="A66" s="25"/>
      <c r="B66" s="148" t="s">
        <v>124</v>
      </c>
      <c r="C66" s="60" t="s">
        <v>93</v>
      </c>
      <c r="D66" s="154">
        <v>2</v>
      </c>
      <c r="E66" s="60" t="s">
        <v>72</v>
      </c>
      <c r="F66" s="150">
        <v>18800</v>
      </c>
      <c r="G66" s="144">
        <f t="shared" si="1"/>
        <v>37600</v>
      </c>
    </row>
    <row r="67" spans="1:7" ht="12.75" customHeight="1" x14ac:dyDescent="0.3">
      <c r="A67" s="25"/>
      <c r="B67" s="148" t="s">
        <v>138</v>
      </c>
      <c r="C67" s="60" t="s">
        <v>93</v>
      </c>
      <c r="D67" s="154"/>
      <c r="E67" s="60" t="s">
        <v>72</v>
      </c>
      <c r="F67" s="150"/>
      <c r="G67" s="144">
        <f t="shared" si="1"/>
        <v>0</v>
      </c>
    </row>
    <row r="68" spans="1:7" ht="12.75" customHeight="1" x14ac:dyDescent="0.3">
      <c r="A68" s="25"/>
      <c r="B68" s="148" t="s">
        <v>131</v>
      </c>
      <c r="C68" s="60" t="s">
        <v>93</v>
      </c>
      <c r="D68" s="154">
        <v>1</v>
      </c>
      <c r="E68" s="60" t="s">
        <v>72</v>
      </c>
      <c r="F68" s="150">
        <v>32560</v>
      </c>
      <c r="G68" s="144">
        <f t="shared" si="1"/>
        <v>32560</v>
      </c>
    </row>
    <row r="69" spans="1:7" ht="12.75" customHeight="1" x14ac:dyDescent="0.3">
      <c r="A69" s="25"/>
      <c r="B69" s="63" t="s">
        <v>35</v>
      </c>
      <c r="C69" s="60"/>
      <c r="D69" s="154">
        <v>2</v>
      </c>
      <c r="E69" s="60"/>
      <c r="F69" s="150">
        <v>15820</v>
      </c>
      <c r="G69" s="61"/>
    </row>
    <row r="70" spans="1:7" ht="12.75" customHeight="1" x14ac:dyDescent="0.3">
      <c r="A70" s="25"/>
      <c r="B70" s="148" t="s">
        <v>128</v>
      </c>
      <c r="C70" s="60" t="s">
        <v>93</v>
      </c>
      <c r="D70" s="154">
        <v>2</v>
      </c>
      <c r="E70" s="60" t="s">
        <v>72</v>
      </c>
      <c r="F70" s="150">
        <v>19670</v>
      </c>
      <c r="G70" s="144">
        <f t="shared" ref="G70:G79" si="2">+F70*D70</f>
        <v>39340</v>
      </c>
    </row>
    <row r="71" spans="1:7" ht="12.75" customHeight="1" x14ac:dyDescent="0.3">
      <c r="A71" s="25"/>
      <c r="B71" s="148" t="s">
        <v>126</v>
      </c>
      <c r="C71" s="60" t="s">
        <v>93</v>
      </c>
      <c r="D71" s="154">
        <v>500</v>
      </c>
      <c r="E71" s="60" t="s">
        <v>72</v>
      </c>
      <c r="F71" s="150">
        <v>230</v>
      </c>
      <c r="G71" s="62">
        <f t="shared" si="2"/>
        <v>115000</v>
      </c>
    </row>
    <row r="72" spans="1:7" ht="12.75" customHeight="1" x14ac:dyDescent="0.3">
      <c r="A72" s="25"/>
      <c r="B72" s="148" t="s">
        <v>125</v>
      </c>
      <c r="C72" s="60" t="s">
        <v>83</v>
      </c>
      <c r="D72" s="154">
        <v>1</v>
      </c>
      <c r="E72" s="60" t="s">
        <v>72</v>
      </c>
      <c r="F72" s="150">
        <v>35690</v>
      </c>
      <c r="G72" s="62">
        <f t="shared" si="2"/>
        <v>35690</v>
      </c>
    </row>
    <row r="73" spans="1:7" ht="12.75" customHeight="1" x14ac:dyDescent="0.3">
      <c r="A73" s="25"/>
      <c r="B73" s="148" t="s">
        <v>119</v>
      </c>
      <c r="C73" s="60" t="s">
        <v>120</v>
      </c>
      <c r="D73" s="154">
        <v>1.5</v>
      </c>
      <c r="E73" s="60" t="s">
        <v>72</v>
      </c>
      <c r="F73" s="150">
        <v>2994</v>
      </c>
      <c r="G73" s="62">
        <f t="shared" si="2"/>
        <v>4491</v>
      </c>
    </row>
    <row r="74" spans="1:7" ht="12.75" customHeight="1" x14ac:dyDescent="0.3">
      <c r="A74" s="25"/>
      <c r="B74" s="148" t="s">
        <v>85</v>
      </c>
      <c r="C74" s="60" t="s">
        <v>104</v>
      </c>
      <c r="D74" s="154">
        <v>1</v>
      </c>
      <c r="E74" s="60" t="s">
        <v>72</v>
      </c>
      <c r="F74" s="150">
        <v>70000</v>
      </c>
      <c r="G74" s="62">
        <f t="shared" si="2"/>
        <v>70000</v>
      </c>
    </row>
    <row r="75" spans="1:7" ht="12.75" customHeight="1" x14ac:dyDescent="0.3">
      <c r="A75" s="25"/>
      <c r="B75" s="148" t="s">
        <v>136</v>
      </c>
      <c r="C75" s="60" t="s">
        <v>134</v>
      </c>
      <c r="D75" s="155">
        <f>30*2*4*5/2</f>
        <v>600</v>
      </c>
      <c r="E75" s="60" t="s">
        <v>90</v>
      </c>
      <c r="F75" s="151">
        <v>56</v>
      </c>
      <c r="G75" s="62">
        <f t="shared" si="2"/>
        <v>33600</v>
      </c>
    </row>
    <row r="76" spans="1:7" ht="12.75" customHeight="1" x14ac:dyDescent="0.3">
      <c r="A76" s="25"/>
      <c r="B76" s="148" t="s">
        <v>89</v>
      </c>
      <c r="C76" s="60" t="s">
        <v>91</v>
      </c>
      <c r="D76" s="155">
        <v>1</v>
      </c>
      <c r="E76" s="60" t="s">
        <v>90</v>
      </c>
      <c r="F76" s="151">
        <v>256000</v>
      </c>
      <c r="G76" s="62">
        <f t="shared" si="2"/>
        <v>256000</v>
      </c>
    </row>
    <row r="77" spans="1:7" ht="12.75" customHeight="1" x14ac:dyDescent="0.3">
      <c r="A77" s="25"/>
      <c r="B77" s="140" t="s">
        <v>105</v>
      </c>
      <c r="C77" s="141" t="s">
        <v>106</v>
      </c>
      <c r="D77" s="156">
        <v>12</v>
      </c>
      <c r="E77" s="141" t="s">
        <v>90</v>
      </c>
      <c r="F77" s="152">
        <v>12500</v>
      </c>
      <c r="G77" s="137">
        <f t="shared" si="2"/>
        <v>150000</v>
      </c>
    </row>
    <row r="78" spans="1:7" ht="12.75" customHeight="1" x14ac:dyDescent="0.3">
      <c r="A78" s="25"/>
      <c r="B78" s="140" t="s">
        <v>122</v>
      </c>
      <c r="C78" s="141" t="s">
        <v>123</v>
      </c>
      <c r="D78" s="142">
        <v>1</v>
      </c>
      <c r="E78" s="141" t="s">
        <v>72</v>
      </c>
      <c r="F78" s="137">
        <f>67973*1.3</f>
        <v>88364.900000000009</v>
      </c>
      <c r="G78" s="137">
        <f t="shared" si="2"/>
        <v>88364.900000000009</v>
      </c>
    </row>
    <row r="79" spans="1:7" ht="12.75" customHeight="1" x14ac:dyDescent="0.3">
      <c r="A79" s="25"/>
      <c r="B79" s="65" t="s">
        <v>121</v>
      </c>
      <c r="C79" s="66" t="s">
        <v>103</v>
      </c>
      <c r="D79" s="67">
        <v>12</v>
      </c>
      <c r="E79" s="66" t="s">
        <v>72</v>
      </c>
      <c r="F79" s="68">
        <v>12000</v>
      </c>
      <c r="G79" s="68">
        <f t="shared" si="2"/>
        <v>144000</v>
      </c>
    </row>
    <row r="80" spans="1:7" ht="13.5" customHeight="1" x14ac:dyDescent="0.3">
      <c r="A80" s="5"/>
      <c r="B80" s="69" t="s">
        <v>34</v>
      </c>
      <c r="C80" s="70"/>
      <c r="D80" s="70"/>
      <c r="E80" s="70"/>
      <c r="F80" s="71"/>
      <c r="G80" s="72">
        <f>SUM(G45:G79)</f>
        <v>7796495.9000000004</v>
      </c>
    </row>
    <row r="81" spans="1:7" ht="12" customHeight="1" x14ac:dyDescent="0.3">
      <c r="A81" s="2"/>
      <c r="B81" s="51"/>
      <c r="C81" s="52"/>
      <c r="D81" s="52"/>
      <c r="E81" s="73"/>
      <c r="F81" s="53"/>
      <c r="G81" s="53"/>
    </row>
    <row r="82" spans="1:7" ht="12" customHeight="1" x14ac:dyDescent="0.3">
      <c r="A82" s="138" t="s">
        <v>86</v>
      </c>
      <c r="B82" s="51"/>
      <c r="C82" s="52"/>
      <c r="D82" s="52"/>
      <c r="E82" s="73"/>
      <c r="F82" s="53"/>
      <c r="G82" s="53"/>
    </row>
    <row r="83" spans="1:7" ht="12" customHeight="1" x14ac:dyDescent="0.3">
      <c r="A83" s="5"/>
      <c r="B83" s="40" t="s">
        <v>35</v>
      </c>
      <c r="C83" s="41"/>
      <c r="D83" s="42"/>
      <c r="E83" s="42"/>
      <c r="F83" s="43"/>
      <c r="G83" s="43"/>
    </row>
    <row r="84" spans="1:7" ht="24" customHeight="1" x14ac:dyDescent="0.3">
      <c r="A84" s="5"/>
      <c r="B84" s="54" t="s">
        <v>36</v>
      </c>
      <c r="C84" s="55" t="s">
        <v>28</v>
      </c>
      <c r="D84" s="55" t="s">
        <v>29</v>
      </c>
      <c r="E84" s="54" t="s">
        <v>17</v>
      </c>
      <c r="F84" s="55" t="s">
        <v>18</v>
      </c>
      <c r="G84" s="54" t="s">
        <v>19</v>
      </c>
    </row>
    <row r="85" spans="1:7" ht="12.75" customHeight="1" x14ac:dyDescent="0.3">
      <c r="A85" s="25"/>
      <c r="B85" s="147"/>
      <c r="C85" s="60"/>
      <c r="D85" s="62"/>
      <c r="E85" s="33"/>
      <c r="F85" s="74"/>
      <c r="G85" s="62"/>
    </row>
    <row r="86" spans="1:7" ht="12.75" customHeight="1" x14ac:dyDescent="0.3">
      <c r="A86" s="25"/>
      <c r="B86" s="147"/>
      <c r="C86" s="60"/>
      <c r="D86" s="62"/>
      <c r="E86" s="33"/>
      <c r="F86" s="74"/>
      <c r="G86" s="62"/>
    </row>
    <row r="87" spans="1:7" ht="12.75" customHeight="1" x14ac:dyDescent="0.3">
      <c r="A87" s="25"/>
      <c r="B87" s="147"/>
      <c r="C87" s="60"/>
      <c r="D87" s="62"/>
      <c r="E87" s="33"/>
      <c r="F87" s="74"/>
      <c r="G87" s="62"/>
    </row>
    <row r="88" spans="1:7" ht="13.5" customHeight="1" x14ac:dyDescent="0.3">
      <c r="A88" s="5"/>
      <c r="B88" s="75" t="s">
        <v>37</v>
      </c>
      <c r="C88" s="76"/>
      <c r="D88" s="76"/>
      <c r="E88" s="76"/>
      <c r="F88" s="77"/>
      <c r="G88" s="78">
        <f>SUM(G87)</f>
        <v>0</v>
      </c>
    </row>
    <row r="89" spans="1:7" ht="12" customHeight="1" x14ac:dyDescent="0.3">
      <c r="A89" s="2"/>
      <c r="B89" s="95"/>
      <c r="C89" s="95"/>
      <c r="D89" s="95"/>
      <c r="E89" s="95"/>
      <c r="F89" s="96"/>
      <c r="G89" s="96"/>
    </row>
    <row r="90" spans="1:7" ht="12" customHeight="1" x14ac:dyDescent="0.3">
      <c r="A90" s="92"/>
      <c r="B90" s="97" t="s">
        <v>38</v>
      </c>
      <c r="C90" s="98"/>
      <c r="D90" s="98"/>
      <c r="E90" s="98"/>
      <c r="F90" s="98"/>
      <c r="G90" s="99">
        <f>G30+G41+G80+G88</f>
        <v>11681155.9</v>
      </c>
    </row>
    <row r="91" spans="1:7" ht="12" customHeight="1" x14ac:dyDescent="0.3">
      <c r="A91" s="92"/>
      <c r="B91" s="100" t="s">
        <v>39</v>
      </c>
      <c r="C91" s="80"/>
      <c r="D91" s="80"/>
      <c r="E91" s="80"/>
      <c r="F91" s="80"/>
      <c r="G91" s="101">
        <f>G90*0.05</f>
        <v>584057.79500000004</v>
      </c>
    </row>
    <row r="92" spans="1:7" ht="12" customHeight="1" x14ac:dyDescent="0.3">
      <c r="A92" s="92"/>
      <c r="B92" s="102" t="s">
        <v>40</v>
      </c>
      <c r="C92" s="79"/>
      <c r="D92" s="79"/>
      <c r="E92" s="79"/>
      <c r="F92" s="79"/>
      <c r="G92" s="103">
        <f>G91+G90</f>
        <v>12265213.695</v>
      </c>
    </row>
    <row r="93" spans="1:7" ht="12" customHeight="1" x14ac:dyDescent="0.3">
      <c r="A93" s="92"/>
      <c r="B93" s="100" t="s">
        <v>41</v>
      </c>
      <c r="C93" s="80"/>
      <c r="D93" s="80"/>
      <c r="E93" s="80"/>
      <c r="F93" s="80"/>
      <c r="G93" s="101">
        <f>G12</f>
        <v>14400000</v>
      </c>
    </row>
    <row r="94" spans="1:7" ht="12" customHeight="1" x14ac:dyDescent="0.3">
      <c r="A94" s="92"/>
      <c r="B94" s="104" t="s">
        <v>42</v>
      </c>
      <c r="C94" s="105"/>
      <c r="D94" s="105"/>
      <c r="E94" s="105"/>
      <c r="F94" s="105"/>
      <c r="G94" s="106">
        <f>G93-G92</f>
        <v>2134786.3049999997</v>
      </c>
    </row>
    <row r="95" spans="1:7" ht="12" customHeight="1" x14ac:dyDescent="0.3">
      <c r="A95" s="92"/>
      <c r="B95" s="93" t="s">
        <v>43</v>
      </c>
      <c r="C95" s="94"/>
      <c r="D95" s="94"/>
      <c r="E95" s="94"/>
      <c r="F95" s="94"/>
      <c r="G95" s="89">
        <f ca="1">+G94:G95/12</f>
        <v>0</v>
      </c>
    </row>
    <row r="96" spans="1:7" ht="12.75" customHeight="1" thickBot="1" x14ac:dyDescent="0.35">
      <c r="A96" s="92"/>
      <c r="B96" s="107"/>
      <c r="C96" s="94"/>
      <c r="D96" s="94"/>
      <c r="E96" s="94"/>
      <c r="F96" s="94"/>
      <c r="G96" s="89"/>
    </row>
    <row r="97" spans="1:7" ht="12" customHeight="1" x14ac:dyDescent="0.3">
      <c r="A97" s="92"/>
      <c r="B97" s="119" t="s">
        <v>44</v>
      </c>
      <c r="C97" s="120"/>
      <c r="D97" s="120"/>
      <c r="E97" s="120"/>
      <c r="F97" s="121"/>
      <c r="G97" s="89"/>
    </row>
    <row r="98" spans="1:7" ht="12" customHeight="1" x14ac:dyDescent="0.3">
      <c r="A98" s="92"/>
      <c r="B98" s="122" t="s">
        <v>45</v>
      </c>
      <c r="C98" s="91"/>
      <c r="D98" s="91"/>
      <c r="E98" s="91"/>
      <c r="F98" s="123"/>
      <c r="G98" s="89"/>
    </row>
    <row r="99" spans="1:7" ht="12" customHeight="1" x14ac:dyDescent="0.3">
      <c r="A99" s="92"/>
      <c r="B99" s="122" t="s">
        <v>46</v>
      </c>
      <c r="C99" s="91"/>
      <c r="D99" s="91"/>
      <c r="E99" s="91"/>
      <c r="F99" s="123"/>
      <c r="G99" s="89"/>
    </row>
    <row r="100" spans="1:7" ht="12" customHeight="1" x14ac:dyDescent="0.3">
      <c r="A100" s="92"/>
      <c r="B100" s="122" t="s">
        <v>47</v>
      </c>
      <c r="C100" s="91"/>
      <c r="D100" s="91"/>
      <c r="E100" s="91"/>
      <c r="F100" s="123"/>
      <c r="G100" s="89"/>
    </row>
    <row r="101" spans="1:7" ht="12" customHeight="1" x14ac:dyDescent="0.3">
      <c r="A101" s="92"/>
      <c r="B101" s="122" t="s">
        <v>48</v>
      </c>
      <c r="C101" s="91"/>
      <c r="D101" s="91"/>
      <c r="E101" s="91"/>
      <c r="F101" s="123"/>
      <c r="G101" s="89"/>
    </row>
    <row r="102" spans="1:7" ht="12" customHeight="1" x14ac:dyDescent="0.3">
      <c r="A102" s="92"/>
      <c r="B102" s="122" t="s">
        <v>49</v>
      </c>
      <c r="C102" s="91"/>
      <c r="D102" s="91"/>
      <c r="E102" s="91"/>
      <c r="F102" s="123"/>
      <c r="G102" s="89"/>
    </row>
    <row r="103" spans="1:7" ht="12.75" customHeight="1" thickBot="1" x14ac:dyDescent="0.35">
      <c r="A103" s="92"/>
      <c r="B103" s="124" t="s">
        <v>50</v>
      </c>
      <c r="C103" s="125"/>
      <c r="D103" s="125"/>
      <c r="E103" s="125"/>
      <c r="F103" s="126"/>
      <c r="G103" s="89"/>
    </row>
    <row r="104" spans="1:7" ht="12.75" customHeight="1" x14ac:dyDescent="0.3">
      <c r="A104" s="92"/>
      <c r="B104" s="117"/>
      <c r="C104" s="91"/>
      <c r="D104" s="91"/>
      <c r="E104" s="91"/>
      <c r="F104" s="91"/>
      <c r="G104" s="89"/>
    </row>
    <row r="105" spans="1:7" ht="15" customHeight="1" thickBot="1" x14ac:dyDescent="0.35">
      <c r="A105" s="92"/>
      <c r="B105" s="157" t="s">
        <v>51</v>
      </c>
      <c r="C105" s="158"/>
      <c r="D105" s="116"/>
      <c r="E105" s="82"/>
      <c r="F105" s="82"/>
      <c r="G105" s="89"/>
    </row>
    <row r="106" spans="1:7" ht="12" customHeight="1" x14ac:dyDescent="0.3">
      <c r="A106" s="92"/>
      <c r="B106" s="109" t="s">
        <v>36</v>
      </c>
      <c r="C106" s="83" t="s">
        <v>52</v>
      </c>
      <c r="D106" s="110" t="s">
        <v>53</v>
      </c>
      <c r="E106" s="82"/>
      <c r="F106" s="82"/>
      <c r="G106" s="89"/>
    </row>
    <row r="107" spans="1:7" ht="12" customHeight="1" x14ac:dyDescent="0.3">
      <c r="A107" s="92"/>
      <c r="B107" s="111" t="s">
        <v>54</v>
      </c>
      <c r="C107" s="84">
        <f>+G30</f>
        <v>3680000</v>
      </c>
      <c r="D107" s="112">
        <f>(C107/C113)</f>
        <v>0.30003553884268463</v>
      </c>
      <c r="E107" s="82"/>
      <c r="F107" s="82"/>
      <c r="G107" s="89"/>
    </row>
    <row r="108" spans="1:7" ht="12" customHeight="1" x14ac:dyDescent="0.3">
      <c r="A108" s="92"/>
      <c r="B108" s="111" t="s">
        <v>55</v>
      </c>
      <c r="C108" s="85">
        <f>+G35</f>
        <v>0</v>
      </c>
      <c r="D108" s="112">
        <v>0</v>
      </c>
      <c r="E108" s="82"/>
      <c r="F108" s="82"/>
      <c r="G108" s="89"/>
    </row>
    <row r="109" spans="1:7" ht="12" customHeight="1" x14ac:dyDescent="0.3">
      <c r="A109" s="92"/>
      <c r="B109" s="111" t="s">
        <v>56</v>
      </c>
      <c r="C109" s="84">
        <f>+G41</f>
        <v>204660</v>
      </c>
      <c r="D109" s="112">
        <f>(C109/C113)</f>
        <v>1.6686215592267347E-2</v>
      </c>
      <c r="E109" s="82"/>
      <c r="F109" s="82"/>
      <c r="G109" s="89"/>
    </row>
    <row r="110" spans="1:7" ht="12" customHeight="1" x14ac:dyDescent="0.3">
      <c r="A110" s="92"/>
      <c r="B110" s="111" t="s">
        <v>27</v>
      </c>
      <c r="C110" s="84">
        <f>+G80</f>
        <v>7796495.9000000004</v>
      </c>
      <c r="D110" s="112">
        <f>(C110/C113)</f>
        <v>0.63565919794600045</v>
      </c>
      <c r="E110" s="82"/>
      <c r="F110" s="82"/>
      <c r="G110" s="89"/>
    </row>
    <row r="111" spans="1:7" ht="12" customHeight="1" x14ac:dyDescent="0.3">
      <c r="A111" s="92"/>
      <c r="B111" s="111" t="s">
        <v>57</v>
      </c>
      <c r="C111" s="86">
        <f>+G88</f>
        <v>0</v>
      </c>
      <c r="D111" s="112">
        <f>(C111/C113)</f>
        <v>0</v>
      </c>
      <c r="E111" s="88"/>
      <c r="F111" s="88"/>
      <c r="G111" s="89"/>
    </row>
    <row r="112" spans="1:7" ht="12" customHeight="1" x14ac:dyDescent="0.3">
      <c r="A112" s="92"/>
      <c r="B112" s="111" t="s">
        <v>58</v>
      </c>
      <c r="C112" s="86">
        <f>+G91</f>
        <v>584057.79500000004</v>
      </c>
      <c r="D112" s="112">
        <f>(C112/C113)</f>
        <v>4.7619047619047623E-2</v>
      </c>
      <c r="E112" s="88"/>
      <c r="F112" s="88"/>
      <c r="G112" s="89"/>
    </row>
    <row r="113" spans="1:7" ht="12.75" customHeight="1" thickBot="1" x14ac:dyDescent="0.35">
      <c r="A113" s="92"/>
      <c r="B113" s="113" t="s">
        <v>59</v>
      </c>
      <c r="C113" s="114">
        <f>SUM(C107:C112)</f>
        <v>12265213.695</v>
      </c>
      <c r="D113" s="115">
        <f>SUM(D107:D112)</f>
        <v>1</v>
      </c>
      <c r="E113" s="88"/>
      <c r="F113" s="88"/>
      <c r="G113" s="89"/>
    </row>
    <row r="114" spans="1:7" ht="12" customHeight="1" x14ac:dyDescent="0.3">
      <c r="A114" s="92"/>
      <c r="B114" s="107"/>
      <c r="C114" s="94"/>
      <c r="D114" s="94"/>
      <c r="E114" s="94"/>
      <c r="F114" s="94"/>
      <c r="G114" s="89"/>
    </row>
    <row r="115" spans="1:7" ht="12.75" customHeight="1" x14ac:dyDescent="0.3">
      <c r="A115" s="92"/>
      <c r="B115" s="108"/>
      <c r="C115" s="94"/>
      <c r="D115" s="94"/>
      <c r="E115" s="94"/>
      <c r="F115" s="94"/>
      <c r="G115" s="89"/>
    </row>
    <row r="116" spans="1:7" ht="12" customHeight="1" thickBot="1" x14ac:dyDescent="0.35">
      <c r="A116" s="81"/>
      <c r="B116" s="128"/>
      <c r="C116" s="129" t="s">
        <v>60</v>
      </c>
      <c r="D116" s="130"/>
      <c r="E116" s="131"/>
      <c r="F116" s="87"/>
      <c r="G116" s="89"/>
    </row>
    <row r="117" spans="1:7" ht="12" customHeight="1" thickBot="1" x14ac:dyDescent="0.35">
      <c r="A117" s="92"/>
      <c r="B117" s="132" t="s">
        <v>100</v>
      </c>
      <c r="C117" s="143">
        <f>4000*5*4</f>
        <v>80000</v>
      </c>
      <c r="D117" s="143">
        <f>4000*5*6</f>
        <v>120000</v>
      </c>
      <c r="E117" s="143">
        <f>4000*5*8</f>
        <v>160000</v>
      </c>
      <c r="F117" s="127"/>
      <c r="G117" s="90"/>
    </row>
    <row r="118" spans="1:7" ht="12.75" customHeight="1" thickBot="1" x14ac:dyDescent="0.35">
      <c r="A118" s="92"/>
      <c r="B118" s="113" t="s">
        <v>101</v>
      </c>
      <c r="C118" s="114">
        <f>+C113/C117</f>
        <v>153.3151711875</v>
      </c>
      <c r="D118" s="114">
        <f>+C113/D117</f>
        <v>102.210114125</v>
      </c>
      <c r="E118" s="143">
        <f>+C113/E117</f>
        <v>76.657585593749999</v>
      </c>
      <c r="F118" s="127"/>
      <c r="G118" s="90"/>
    </row>
    <row r="119" spans="1:7" ht="15.6" customHeight="1" x14ac:dyDescent="0.3">
      <c r="A119" s="92"/>
      <c r="B119" s="118" t="s">
        <v>61</v>
      </c>
      <c r="C119" s="91"/>
      <c r="D119" s="91"/>
      <c r="E119" s="91"/>
      <c r="F119" s="91"/>
      <c r="G119" s="91"/>
    </row>
  </sheetData>
  <mergeCells count="8">
    <mergeCell ref="B17:G17"/>
    <mergeCell ref="B105:C105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A0B7C6-8867-4965-A383-93C01A4116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9A124D-81FF-49F2-905C-BDFD36618EAA}">
  <ds:schemaRefs>
    <ds:schemaRef ds:uri="1030f0af-99cb-42f1-88fc-acec73331192"/>
    <ds:schemaRef ds:uri="http://purl.org/dc/elements/1.1/"/>
    <ds:schemaRef ds:uri="http://schemas.microsoft.com/sharepoint/v3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c5dbce2d-49dc-4afe-a5b0-d7fb7a901161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9F6F8FD-2D0A-49B9-A2F4-4BB686E0F0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CLAVEL BAJO INVERNADERO</vt:lpstr>
      <vt:lpstr>A 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dcterms:created xsi:type="dcterms:W3CDTF">2020-11-27T12:49:26Z</dcterms:created>
  <dcterms:modified xsi:type="dcterms:W3CDTF">2022-06-30T15:11:24Z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