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Limache\"/>
    </mc:Choice>
  </mc:AlternateContent>
  <bookViews>
    <workbookView xWindow="0" yWindow="0" windowWidth="23040" windowHeight="8616" activeTab="1"/>
  </bookViews>
  <sheets>
    <sheet name="Pepino ensalada " sheetId="1" r:id="rId1"/>
    <sheet name="Al 22.06.22" sheetId="2" r:id="rId2"/>
  </sheets>
  <definedNames>
    <definedName name="_xlnm.Print_Area" localSheetId="0">'Pepino ensalada '!$B$1:$G$131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2" l="1"/>
  <c r="F56" i="2"/>
  <c r="G56" i="2" s="1"/>
  <c r="F57" i="2"/>
  <c r="F58" i="2"/>
  <c r="F59" i="2"/>
  <c r="F60" i="2"/>
  <c r="G60" i="2" s="1"/>
  <c r="F61" i="2"/>
  <c r="F62" i="2"/>
  <c r="F63" i="2"/>
  <c r="G63" i="2" s="1"/>
  <c r="F64" i="2"/>
  <c r="F65" i="2"/>
  <c r="F66" i="2"/>
  <c r="F67" i="2"/>
  <c r="F68" i="2"/>
  <c r="F69" i="2"/>
  <c r="F70" i="2"/>
  <c r="F71" i="2"/>
  <c r="F72" i="2"/>
  <c r="G72" i="2" s="1"/>
  <c r="F73" i="2"/>
  <c r="F74" i="2"/>
  <c r="G74" i="2" s="1"/>
  <c r="F75" i="2"/>
  <c r="F76" i="2"/>
  <c r="F77" i="2"/>
  <c r="G77" i="2" s="1"/>
  <c r="F78" i="2"/>
  <c r="F79" i="2"/>
  <c r="F80" i="2"/>
  <c r="F81" i="2"/>
  <c r="F82" i="2"/>
  <c r="F83" i="2"/>
  <c r="F84" i="2"/>
  <c r="F85" i="2"/>
  <c r="G85" i="2" s="1"/>
  <c r="F86" i="2"/>
  <c r="F87" i="2"/>
  <c r="F88" i="2"/>
  <c r="G88" i="2" s="1"/>
  <c r="F89" i="2"/>
  <c r="F90" i="2"/>
  <c r="G90" i="2" s="1"/>
  <c r="F91" i="2"/>
  <c r="F92" i="2"/>
  <c r="F93" i="2"/>
  <c r="G93" i="2" s="1"/>
  <c r="F54" i="2"/>
  <c r="D129" i="2"/>
  <c r="C120" i="2"/>
  <c r="G99" i="2"/>
  <c r="G100" i="2" s="1"/>
  <c r="C123" i="2" s="1"/>
  <c r="D93" i="2"/>
  <c r="G92" i="2"/>
  <c r="G91" i="2"/>
  <c r="G89" i="2"/>
  <c r="G86" i="2"/>
  <c r="G81" i="2"/>
  <c r="G80" i="2"/>
  <c r="G76" i="2"/>
  <c r="G75" i="2"/>
  <c r="G73" i="2"/>
  <c r="G71" i="2"/>
  <c r="G70" i="2"/>
  <c r="G67" i="2"/>
  <c r="G65" i="2"/>
  <c r="G64" i="2"/>
  <c r="G61" i="2"/>
  <c r="G59" i="2"/>
  <c r="G58" i="2"/>
  <c r="G57" i="2"/>
  <c r="G55" i="2"/>
  <c r="G54" i="2"/>
  <c r="D54" i="2"/>
  <c r="G48" i="2"/>
  <c r="G49" i="2" s="1"/>
  <c r="C121" i="2" s="1"/>
  <c r="G38" i="2"/>
  <c r="G36" i="2"/>
  <c r="G34" i="2"/>
  <c r="G33" i="2"/>
  <c r="G32" i="2"/>
  <c r="G31" i="2"/>
  <c r="G30" i="2"/>
  <c r="G29" i="2"/>
  <c r="G28" i="2"/>
  <c r="G27" i="2"/>
  <c r="G26" i="2"/>
  <c r="G25" i="2"/>
  <c r="G24" i="2"/>
  <c r="G22" i="2"/>
  <c r="G12" i="2"/>
  <c r="G105" i="2" s="1"/>
  <c r="G39" i="2" l="1"/>
  <c r="C119" i="2" s="1"/>
  <c r="G95" i="2"/>
  <c r="C122" i="2" s="1"/>
  <c r="D129" i="1"/>
  <c r="G60" i="1"/>
  <c r="G102" i="2" l="1"/>
  <c r="G103" i="2" s="1"/>
  <c r="G88" i="1"/>
  <c r="G89" i="1"/>
  <c r="G90" i="1"/>
  <c r="G86" i="1"/>
  <c r="G85" i="1"/>
  <c r="G80" i="1"/>
  <c r="G81" i="1"/>
  <c r="G104" i="2" l="1"/>
  <c r="C124" i="2"/>
  <c r="G67" i="1"/>
  <c r="G95" i="1" s="1"/>
  <c r="G12" i="1"/>
  <c r="G22" i="1"/>
  <c r="F63" i="1"/>
  <c r="G63" i="1" s="1"/>
  <c r="C125" i="2" l="1"/>
  <c r="E130" i="2"/>
  <c r="D130" i="2"/>
  <c r="C130" i="2"/>
  <c r="G106" i="2"/>
  <c r="G65" i="1"/>
  <c r="F55" i="1"/>
  <c r="F59" i="1"/>
  <c r="G59" i="1" s="1"/>
  <c r="F61" i="1"/>
  <c r="G61" i="1" s="1"/>
  <c r="F58" i="1"/>
  <c r="G58" i="1" s="1"/>
  <c r="F57" i="1"/>
  <c r="G57" i="1" s="1"/>
  <c r="F56" i="1"/>
  <c r="G56" i="1" s="1"/>
  <c r="D54" i="1"/>
  <c r="G99" i="1"/>
  <c r="G100" i="1" s="1"/>
  <c r="G92" i="1"/>
  <c r="F93" i="1"/>
  <c r="D93" i="1"/>
  <c r="D121" i="2" l="1"/>
  <c r="D123" i="2"/>
  <c r="D119" i="2"/>
  <c r="D122" i="2"/>
  <c r="D124" i="2"/>
  <c r="G54" i="1"/>
  <c r="G48" i="1"/>
  <c r="G49" i="1" s="1"/>
  <c r="G93" i="1"/>
  <c r="G55" i="1"/>
  <c r="D125" i="2" l="1"/>
  <c r="F91" i="1"/>
  <c r="G91" i="1" s="1"/>
  <c r="F64" i="1"/>
  <c r="G64" i="1" s="1"/>
  <c r="G36" i="1"/>
  <c r="F90" i="1"/>
  <c r="F77" i="1"/>
  <c r="F76" i="1"/>
  <c r="F75" i="1"/>
  <c r="F74" i="1"/>
  <c r="F73" i="1"/>
  <c r="F72" i="1"/>
  <c r="F71" i="1"/>
  <c r="G70" i="1" l="1"/>
  <c r="G71" i="1"/>
  <c r="G72" i="1"/>
  <c r="G73" i="1"/>
  <c r="G74" i="1"/>
  <c r="G75" i="1"/>
  <c r="G76" i="1"/>
  <c r="G77" i="1"/>
  <c r="G24" i="1" l="1"/>
  <c r="G25" i="1"/>
  <c r="G26" i="1"/>
  <c r="G27" i="1"/>
  <c r="G38" i="1"/>
  <c r="G28" i="1"/>
  <c r="G29" i="1"/>
  <c r="G30" i="1"/>
  <c r="G31" i="1"/>
  <c r="G32" i="1"/>
  <c r="G33" i="1"/>
  <c r="G34" i="1"/>
  <c r="G39" i="1" l="1"/>
  <c r="G102" i="1" s="1"/>
  <c r="C121" i="1"/>
  <c r="C122" i="1"/>
  <c r="C123" i="1"/>
  <c r="C119" i="1" l="1"/>
  <c r="C120" i="1"/>
  <c r="G105" i="1"/>
  <c r="G103" i="1" l="1"/>
  <c r="C124" i="1" s="1"/>
  <c r="G104" i="1" l="1"/>
  <c r="C125" i="1"/>
  <c r="D119" i="1" s="1"/>
  <c r="E130" i="1" l="1"/>
  <c r="C130" i="1"/>
  <c r="D130" i="1"/>
  <c r="G106" i="1"/>
  <c r="D124" i="1"/>
  <c r="D122" i="1"/>
  <c r="D123" i="1"/>
  <c r="D121" i="1"/>
  <c r="D125" i="1" l="1"/>
</calcChain>
</file>

<file path=xl/sharedStrings.xml><?xml version="1.0" encoding="utf-8"?>
<sst xmlns="http://schemas.openxmlformats.org/spreadsheetml/2006/main" count="488" uniqueCount="159">
  <si>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</si>
  <si>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</si>
  <si>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</si>
  <si>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</si>
  <si>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</si>
  <si>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</si>
  <si>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</si>
  <si>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</si>
  <si>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</si>
  <si>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</si>
  <si>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</si>
  <si>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</si>
  <si>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</si>
  <si>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</si>
  <si>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</si>
  <si>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</si>
  <si>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</si>
  <si>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</si>
  <si>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</si>
  <si>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</si>
  <si>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</si>
  <si>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</si>
  <si>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</si>
  <si>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</si>
  <si>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</si>
  <si>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</si>
  <si>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</si>
  <si>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</si>
  <si>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</si>
  <si>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</si>
  <si>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</si>
  <si>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</si>
  <si>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</si>
  <si>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</si>
  <si>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</si>
  <si>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</si>
  <si>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</si>
  <si>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</si>
  <si>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</si>
  <si>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</si>
  <si>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</si>
  <si>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</si>
  <si>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</si>
  <si>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</si>
  <si>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</si>
  <si>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</si>
  <si>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</si>
  <si>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</si>
  <si>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</si>
  <si>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</si>
  <si>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</si>
  <si>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</si>
  <si>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</si>
  <si>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</si>
  <si>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</si>
  <si>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</si>
  <si>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</si>
  <si>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</si>
  <si>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</si>
  <si>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</si>
  <si>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</si>
  <si>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Todas las comunas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</si>
  <si>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</si>
  <si>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</si>
  <si>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</si>
  <si>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</si>
  <si>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</si>
  <si>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</si>
  <si>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</si>
  <si>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</si>
  <si>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</si>
  <si>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</si>
  <si>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>Sept-oct</t>
  </si>
  <si>
    <t xml:space="preserve">Conducción, amarra, poda </t>
  </si>
  <si>
    <t xml:space="preserve">Aplicación Fitosanitarios </t>
  </si>
  <si>
    <t>Jun-Dic</t>
  </si>
  <si>
    <t>Fertirriego</t>
  </si>
  <si>
    <t>Jul-Dic</t>
  </si>
  <si>
    <t>Ventilación</t>
  </si>
  <si>
    <t>Limpieza pasillos</t>
  </si>
  <si>
    <t>Arranca de plantas y raspado de pasillos</t>
  </si>
  <si>
    <t>Dic</t>
  </si>
  <si>
    <t>Eliminación de rastrojo</t>
  </si>
  <si>
    <t>N/A</t>
  </si>
  <si>
    <t>metro lineal</t>
  </si>
  <si>
    <t>Kg</t>
  </si>
  <si>
    <t>Cinta garetta</t>
  </si>
  <si>
    <t>Guano ave descompuesto</t>
  </si>
  <si>
    <t>m3</t>
  </si>
  <si>
    <t>Mezcla 17-20-20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</si>
  <si>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</si>
  <si>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</si>
  <si>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</si>
  <si>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</si>
  <si>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</si>
  <si>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Sulfato ferroso</t>
  </si>
  <si>
    <t xml:space="preserve">Acido fosforico </t>
  </si>
  <si>
    <t>Sep-Dic</t>
  </si>
  <si>
    <t>Luna Experience</t>
  </si>
  <si>
    <t>Nov-Dic</t>
  </si>
  <si>
    <t>oct- dic</t>
  </si>
  <si>
    <t>Mercado Mayorista</t>
  </si>
  <si>
    <t xml:space="preserve">Heladas - sequia </t>
  </si>
  <si>
    <t>INSECTICIDAS</t>
  </si>
  <si>
    <t xml:space="preserve">FUNGICIDAS </t>
  </si>
  <si>
    <t>Energia electrica</t>
  </si>
  <si>
    <t>Global</t>
  </si>
  <si>
    <t>Jun-dic</t>
  </si>
  <si>
    <t>Agosto</t>
  </si>
  <si>
    <t xml:space="preserve">Tiras pegajosas adhesivas amarillas </t>
  </si>
  <si>
    <t>ESCENARIOS COSTO UNITARIO  ($/KG)</t>
  </si>
  <si>
    <t xml:space="preserve">Cosecha </t>
  </si>
  <si>
    <t>LIMACHE/ QUILLOTA</t>
  </si>
  <si>
    <t>KG</t>
  </si>
  <si>
    <t>OCTUBRE Y MARZO</t>
  </si>
  <si>
    <t>Azufre Mojable</t>
  </si>
  <si>
    <t>MEDIO</t>
  </si>
  <si>
    <t xml:space="preserve">MANO DE OBRA COSECHA </t>
  </si>
  <si>
    <t>MANO DE OBRA SELECCIÓN/EMABALAJE</t>
  </si>
  <si>
    <t>PESTICIDAS</t>
  </si>
  <si>
    <t>CUBIIERTA PLASTICA</t>
  </si>
  <si>
    <t>Jabon potasico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</si>
  <si>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</si>
  <si>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</si>
  <si>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Ventanas 2 temporadas 0,15 mic (amortizado en 3 cultivos)</t>
  </si>
  <si>
    <t xml:space="preserve">Lucarnas 0,10 mc (amortizado en 2 cultivo) </t>
  </si>
  <si>
    <t>unidades</t>
  </si>
  <si>
    <t>Rollo Malla raschell negra 50%. 2,10x100 mt (amortizado en 8 cultivos)</t>
  </si>
  <si>
    <t>RIEGO</t>
  </si>
  <si>
    <t>global</t>
  </si>
  <si>
    <t>Profundizacion pozos  (amortizado en 8 cultivos)</t>
  </si>
  <si>
    <t>Diciembre</t>
  </si>
  <si>
    <t xml:space="preserve">Amortización (2 cultivos) Preparación de suelo (Rastra + Tiller + mesero) </t>
  </si>
  <si>
    <t>lt</t>
  </si>
  <si>
    <t>Amortizacion ( 3 cultivos) Instalación de cubierta plástica y malla antiafido</t>
  </si>
  <si>
    <t>PREPARACIÓN DE INVERNADEROS</t>
  </si>
  <si>
    <t xml:space="preserve">Cinta de riego 20 cm (amortizada en 2 cultivos) </t>
  </si>
  <si>
    <t>Amortización (3 cultivos)Polietileno 2 T 4 m  x 150 micrones</t>
  </si>
  <si>
    <t>Canaleta 2 temporadas 200 micrones (amortizado en 3 cultivos)</t>
  </si>
  <si>
    <t>Cortinas 2 temporadas 150 micrones  (amortizado en 3  cultivos)</t>
  </si>
  <si>
    <t xml:space="preserve">Selección embalaje </t>
  </si>
  <si>
    <t>MANO DE OBRA LABORES DEL CULTIVO</t>
  </si>
  <si>
    <t xml:space="preserve">Doble Techo 1 temporada 4 mt x 40 micrones (amortizado en 2 cultivos) </t>
  </si>
  <si>
    <t>Mulch negro-blanco  2 temporadas 1,2 m x 20 micrones x 1000 metros (amortizado en 2 cultivos)</t>
  </si>
  <si>
    <t>PEPINO ENSALADA</t>
  </si>
  <si>
    <t>JAVAN-KENIA TIPO BLUE LEAF</t>
  </si>
  <si>
    <t xml:space="preserve">PLANTAS </t>
  </si>
  <si>
    <t>Plantines</t>
  </si>
  <si>
    <t>Vertimec</t>
  </si>
  <si>
    <t>Magister</t>
  </si>
  <si>
    <t>Punto 70</t>
  </si>
  <si>
    <t>Score</t>
  </si>
  <si>
    <t>Bellis</t>
  </si>
  <si>
    <t>Oct-Dic</t>
  </si>
  <si>
    <t>RENDIMIENTO (Un/ha)</t>
  </si>
  <si>
    <t>PRECIO ESPERADO ($/Un)</t>
  </si>
  <si>
    <t>Rendimiento (Un/hà)</t>
  </si>
  <si>
    <t>Costo unitario ($/Un)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</si>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</sst>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Protection="0"/>
    <xf numFmtId="0" fontId="18" fillId="0" borderId="20"/>
    <xf numFmtId="0" fontId="21" fillId="0" borderId="20" applyNumberFormat="0" applyFill="0" applyBorder="0" applyProtection="0"/>
    <xf numFmtId="41" fontId="21" fillId="0" borderId="20" applyFont="0" applyFill="0" applyBorder="0" applyAlignment="0" applyProtection="0"/>
    <xf numFmtId="9" fontId="21" fillId="0" borderId="20" applyFont="0" applyFill="0" applyBorder="0" applyAlignment="0" applyProtection="0"/>
  </cellStyleXfs>
  <cellXfs count="21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19" fillId="0" borderId="58" xfId="1" applyNumberFormat="1" applyFont="1" applyBorder="1" applyAlignment="1">
      <alignment horizontal="right" vertical="center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20" fillId="2" borderId="6" xfId="0" applyNumberFormat="1" applyFont="1" applyFill="1" applyBorder="1" applyAlignment="1">
      <alignment wrapText="1"/>
    </xf>
    <xf numFmtId="0" fontId="23" fillId="9" borderId="58" xfId="2" applyFont="1" applyFill="1" applyBorder="1" applyAlignment="1">
      <alignment horizontal="center" vertical="center"/>
    </xf>
    <xf numFmtId="3" fontId="23" fillId="9" borderId="58" xfId="2" applyNumberFormat="1" applyFont="1" applyFill="1" applyBorder="1" applyAlignment="1">
      <alignment horizontal="center" vertical="center"/>
    </xf>
    <xf numFmtId="3" fontId="23" fillId="0" borderId="58" xfId="2" applyNumberFormat="1" applyFont="1" applyBorder="1" applyAlignment="1">
      <alignment horizontal="center" vertical="center"/>
    </xf>
    <xf numFmtId="0" fontId="23" fillId="9" borderId="58" xfId="2" applyFont="1" applyFill="1" applyBorder="1" applyAlignment="1">
      <alignment horizontal="left" vertical="center" wrapText="1"/>
    </xf>
    <xf numFmtId="0" fontId="23" fillId="9" borderId="58" xfId="2" applyFont="1" applyFill="1" applyBorder="1" applyAlignment="1">
      <alignment vertical="center" wrapText="1"/>
    </xf>
    <xf numFmtId="0" fontId="23" fillId="9" borderId="59" xfId="2" applyFont="1" applyFill="1" applyBorder="1" applyAlignment="1">
      <alignment horizontal="center" vertical="center"/>
    </xf>
    <xf numFmtId="0" fontId="0" fillId="9" borderId="22" xfId="0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20" fillId="9" borderId="51" xfId="0" applyNumberFormat="1" applyFont="1" applyFill="1" applyBorder="1" applyAlignment="1">
      <alignment horizontal="left" vertical="center" wrapText="1"/>
    </xf>
    <xf numFmtId="49" fontId="4" fillId="9" borderId="6" xfId="0" applyNumberFormat="1" applyFont="1" applyFill="1" applyBorder="1" applyAlignment="1">
      <alignment horizontal="right" vertical="center"/>
    </xf>
    <xf numFmtId="3" fontId="24" fillId="9" borderId="58" xfId="2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vertical="center"/>
    </xf>
    <xf numFmtId="49" fontId="4" fillId="9" borderId="6" xfId="0" applyNumberFormat="1" applyFont="1" applyFill="1" applyBorder="1" applyAlignment="1">
      <alignment horizontal="right"/>
    </xf>
    <xf numFmtId="49" fontId="4" fillId="9" borderId="6" xfId="0" applyNumberFormat="1" applyFont="1" applyFill="1" applyBorder="1" applyAlignment="1">
      <alignment horizontal="right" wrapText="1"/>
    </xf>
    <xf numFmtId="49" fontId="4" fillId="10" borderId="51" xfId="0" applyNumberFormat="1" applyFont="1" applyFill="1" applyBorder="1" applyAlignment="1">
      <alignment horizontal="center" vertical="center" wrapText="1"/>
    </xf>
    <xf numFmtId="49" fontId="4" fillId="10" borderId="51" xfId="0" applyNumberFormat="1" applyFont="1" applyFill="1" applyBorder="1" applyAlignment="1">
      <alignment horizontal="center" vertical="center"/>
    </xf>
    <xf numFmtId="0" fontId="4" fillId="10" borderId="51" xfId="0" applyNumberFormat="1" applyFont="1" applyFill="1" applyBorder="1" applyAlignment="1">
      <alignment horizontal="center" vertical="center"/>
    </xf>
    <xf numFmtId="49" fontId="4" fillId="10" borderId="51" xfId="0" applyNumberFormat="1" applyFont="1" applyFill="1" applyBorder="1" applyAlignment="1">
      <alignment horizontal="center"/>
    </xf>
    <xf numFmtId="3" fontId="4" fillId="10" borderId="51" xfId="0" applyNumberFormat="1" applyFont="1" applyFill="1" applyBorder="1" applyAlignment="1">
      <alignment horizontal="center" vertical="center"/>
    </xf>
    <xf numFmtId="49" fontId="4" fillId="10" borderId="51" xfId="0" applyNumberFormat="1" applyFont="1" applyFill="1" applyBorder="1" applyAlignment="1">
      <alignment horizontal="left" vertical="center" wrapText="1"/>
    </xf>
    <xf numFmtId="0" fontId="4" fillId="10" borderId="51" xfId="0" applyNumberFormat="1" applyFont="1" applyFill="1" applyBorder="1" applyAlignment="1">
      <alignment horizontal="center"/>
    </xf>
    <xf numFmtId="3" fontId="4" fillId="10" borderId="51" xfId="0" applyNumberFormat="1" applyFont="1" applyFill="1" applyBorder="1" applyAlignment="1">
      <alignment horizontal="center"/>
    </xf>
    <xf numFmtId="49" fontId="4" fillId="10" borderId="51" xfId="0" applyNumberFormat="1" applyFont="1" applyFill="1" applyBorder="1" applyAlignment="1">
      <alignment horizontal="left" wrapText="1"/>
    </xf>
    <xf numFmtId="49" fontId="4" fillId="10" borderId="51" xfId="0" applyNumberFormat="1" applyFont="1" applyFill="1" applyBorder="1" applyAlignment="1">
      <alignment horizontal="left"/>
    </xf>
    <xf numFmtId="49" fontId="4" fillId="9" borderId="51" xfId="0" applyNumberFormat="1" applyFont="1" applyFill="1" applyBorder="1" applyAlignment="1">
      <alignment horizontal="center" vertical="center"/>
    </xf>
    <xf numFmtId="0" fontId="4" fillId="9" borderId="51" xfId="0" applyNumberFormat="1" applyFont="1" applyFill="1" applyBorder="1" applyAlignment="1">
      <alignment horizontal="center" vertical="center"/>
    </xf>
    <xf numFmtId="3" fontId="4" fillId="9" borderId="51" xfId="0" applyNumberFormat="1" applyFont="1" applyFill="1" applyBorder="1" applyAlignment="1">
      <alignment horizontal="center" vertical="center"/>
    </xf>
    <xf numFmtId="0" fontId="24" fillId="9" borderId="58" xfId="2" applyFont="1" applyFill="1" applyBorder="1" applyAlignment="1">
      <alignment horizontal="center" vertical="center"/>
    </xf>
    <xf numFmtId="0" fontId="23" fillId="10" borderId="58" xfId="2" applyFont="1" applyFill="1" applyBorder="1" applyAlignment="1">
      <alignment horizontal="center" vertical="center"/>
    </xf>
    <xf numFmtId="3" fontId="23" fillId="10" borderId="58" xfId="2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 wrapText="1"/>
    </xf>
    <xf numFmtId="0" fontId="4" fillId="10" borderId="6" xfId="0" applyNumberFormat="1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 vertical="center" wrapText="1"/>
    </xf>
    <xf numFmtId="0" fontId="23" fillId="10" borderId="6" xfId="0" applyNumberFormat="1" applyFont="1" applyFill="1" applyBorder="1" applyAlignment="1">
      <alignment horizontal="center" vertical="center" wrapText="1"/>
    </xf>
    <xf numFmtId="3" fontId="23" fillId="10" borderId="6" xfId="0" applyNumberFormat="1" applyFont="1" applyFill="1" applyBorder="1" applyAlignment="1">
      <alignment horizontal="center" vertical="center" wrapText="1"/>
    </xf>
    <xf numFmtId="49" fontId="22" fillId="10" borderId="6" xfId="0" applyNumberFormat="1" applyFont="1" applyFill="1" applyBorder="1" applyAlignment="1">
      <alignment wrapText="1"/>
    </xf>
    <xf numFmtId="49" fontId="23" fillId="10" borderId="6" xfId="0" applyNumberFormat="1" applyFont="1" applyFill="1" applyBorder="1" applyAlignment="1">
      <alignment horizontal="center" wrapText="1"/>
    </xf>
    <xf numFmtId="0" fontId="23" fillId="10" borderId="6" xfId="0" applyNumberFormat="1" applyFont="1" applyFill="1" applyBorder="1" applyAlignment="1">
      <alignment horizontal="center" wrapText="1"/>
    </xf>
    <xf numFmtId="3" fontId="23" fillId="10" borderId="6" xfId="0" applyNumberFormat="1" applyFont="1" applyFill="1" applyBorder="1" applyAlignment="1">
      <alignment horizontal="center" wrapText="1"/>
    </xf>
    <xf numFmtId="49" fontId="23" fillId="10" borderId="6" xfId="0" applyNumberFormat="1" applyFont="1" applyFill="1" applyBorder="1" applyAlignment="1">
      <alignment wrapText="1"/>
    </xf>
    <xf numFmtId="1" fontId="23" fillId="10" borderId="6" xfId="0" applyNumberFormat="1" applyFont="1" applyFill="1" applyBorder="1" applyAlignment="1">
      <alignment horizontal="center" wrapText="1"/>
    </xf>
    <xf numFmtId="3" fontId="4" fillId="10" borderId="6" xfId="0" applyNumberFormat="1" applyFont="1" applyFill="1" applyBorder="1" applyAlignment="1">
      <alignment horizontal="right"/>
    </xf>
    <xf numFmtId="1" fontId="4" fillId="10" borderId="51" xfId="0" applyNumberFormat="1" applyFont="1" applyFill="1" applyBorder="1" applyAlignment="1">
      <alignment horizontal="center"/>
    </xf>
    <xf numFmtId="49" fontId="4" fillId="10" borderId="6" xfId="0" applyNumberFormat="1" applyFont="1" applyFill="1" applyBorder="1" applyAlignment="1">
      <alignment vertical="center" wrapText="1"/>
    </xf>
    <xf numFmtId="49" fontId="23" fillId="10" borderId="51" xfId="0" applyNumberFormat="1" applyFont="1" applyFill="1" applyBorder="1" applyAlignment="1">
      <alignment horizontal="left"/>
    </xf>
    <xf numFmtId="49" fontId="23" fillId="10" borderId="51" xfId="0" applyNumberFormat="1" applyFont="1" applyFill="1" applyBorder="1" applyAlignment="1">
      <alignment horizontal="center"/>
    </xf>
    <xf numFmtId="0" fontId="23" fillId="10" borderId="51" xfId="0" applyNumberFormat="1" applyFont="1" applyFill="1" applyBorder="1" applyAlignment="1">
      <alignment horizontal="center"/>
    </xf>
    <xf numFmtId="3" fontId="23" fillId="10" borderId="51" xfId="0" applyNumberFormat="1" applyFont="1" applyFill="1" applyBorder="1" applyAlignment="1">
      <alignment horizontal="center"/>
    </xf>
    <xf numFmtId="49" fontId="22" fillId="10" borderId="51" xfId="0" applyNumberFormat="1" applyFont="1" applyFill="1" applyBorder="1" applyAlignment="1">
      <alignment horizontal="left"/>
    </xf>
    <xf numFmtId="164" fontId="12" fillId="7" borderId="36" xfId="0" applyNumberFormat="1" applyFont="1" applyFill="1" applyBorder="1" applyAlignment="1">
      <alignment vertical="center"/>
    </xf>
    <xf numFmtId="0" fontId="23" fillId="9" borderId="59" xfId="2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/>
    </xf>
    <xf numFmtId="49" fontId="25" fillId="2" borderId="51" xfId="0" applyNumberFormat="1" applyFont="1" applyFill="1" applyBorder="1" applyAlignment="1">
      <alignment horizontal="left"/>
    </xf>
    <xf numFmtId="49" fontId="4" fillId="9" borderId="6" xfId="0" applyNumberFormat="1" applyFont="1" applyFill="1" applyBorder="1" applyAlignment="1">
      <alignment horizontal="right" vertical="center" wrapText="1"/>
    </xf>
    <xf numFmtId="166" fontId="4" fillId="0" borderId="6" xfId="0" applyNumberFormat="1" applyFont="1" applyFill="1" applyBorder="1" applyAlignment="1">
      <alignment horizontal="right"/>
    </xf>
    <xf numFmtId="166" fontId="4" fillId="0" borderId="6" xfId="0" applyNumberFormat="1" applyFont="1" applyFill="1" applyBorder="1" applyAlignment="1">
      <alignment horizontal="right" wrapText="1"/>
    </xf>
    <xf numFmtId="49" fontId="27" fillId="2" borderId="51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5">
    <cellStyle name="Millares [0] 2" xfId="3"/>
    <cellStyle name="Normal" xfId="0" builtinId="0"/>
    <cellStyle name="Normal 2" xfId="1"/>
    <cellStyle name="Normal 3" xfId="2"/>
    <cellStyle name="Porcentaje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51780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813780</xdr:colOff>
      <xdr:row>7</xdr:row>
      <xdr:rowOff>56849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4" y="161925"/>
          <a:ext cx="714790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31"/>
  <sheetViews>
    <sheetView showGridLines="0" topLeftCell="A79" zoomScale="110" zoomScaleNormal="110" zoomScaleSheetLayoutView="100" workbookViewId="0">
      <selection activeCell="G106" sqref="G106"/>
    </sheetView>
  </sheetViews>
  <sheetFormatPr baseColWidth="10" defaultColWidth="10.88671875" defaultRowHeight="11.25" customHeight="1" x14ac:dyDescent="0.3"/>
  <cols>
    <col min="1" max="1" width="6.109375" style="1" customWidth="1"/>
    <col min="2" max="2" width="21.332031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13" customWidth="1"/>
    <col min="8" max="234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100"/>
    </row>
    <row r="2" spans="1:7" ht="15" customHeight="1" x14ac:dyDescent="0.3">
      <c r="A2" s="2"/>
      <c r="B2" s="2"/>
      <c r="C2" s="2"/>
      <c r="D2" s="2"/>
      <c r="E2" s="2"/>
      <c r="F2" s="2"/>
      <c r="G2" s="100"/>
    </row>
    <row r="3" spans="1:7" ht="15" customHeight="1" x14ac:dyDescent="0.3">
      <c r="A3" s="2"/>
      <c r="B3" s="2"/>
      <c r="C3" s="2"/>
      <c r="D3" s="2"/>
      <c r="E3" s="2"/>
      <c r="F3" s="2"/>
      <c r="G3" s="100"/>
    </row>
    <row r="4" spans="1:7" ht="15" customHeight="1" x14ac:dyDescent="0.3">
      <c r="A4" s="2"/>
      <c r="B4" s="2"/>
      <c r="C4" s="2"/>
      <c r="D4" s="2"/>
      <c r="E4" s="2"/>
      <c r="F4" s="2"/>
      <c r="G4" s="100"/>
    </row>
    <row r="5" spans="1:7" ht="15" customHeight="1" x14ac:dyDescent="0.3">
      <c r="A5" s="2"/>
      <c r="B5" s="2"/>
      <c r="C5" s="2"/>
      <c r="D5" s="2"/>
      <c r="E5" s="2"/>
      <c r="F5" s="2"/>
      <c r="G5" s="100"/>
    </row>
    <row r="6" spans="1:7" ht="15" customHeight="1" x14ac:dyDescent="0.3">
      <c r="A6" s="2"/>
      <c r="B6" s="2"/>
      <c r="C6" s="2"/>
      <c r="D6" s="2"/>
      <c r="E6" s="2"/>
      <c r="F6" s="2"/>
      <c r="G6" s="100"/>
    </row>
    <row r="7" spans="1:7" ht="15" customHeight="1" x14ac:dyDescent="0.3">
      <c r="A7" s="2"/>
      <c r="B7" s="2"/>
      <c r="C7" s="2"/>
      <c r="D7" s="2"/>
      <c r="E7" s="2"/>
      <c r="F7" s="2"/>
      <c r="G7" s="100"/>
    </row>
    <row r="8" spans="1:7" ht="15" customHeight="1" x14ac:dyDescent="0.3">
      <c r="A8" s="2"/>
      <c r="B8" s="3"/>
      <c r="C8" s="4"/>
      <c r="D8" s="2"/>
      <c r="E8" s="4"/>
      <c r="F8" s="4"/>
      <c r="G8" s="101"/>
    </row>
    <row r="9" spans="1:7" ht="12" customHeight="1" x14ac:dyDescent="0.3">
      <c r="A9" s="5"/>
      <c r="B9" s="6" t="s">
        <v>0</v>
      </c>
      <c r="C9" s="137" t="s">
        <v>144</v>
      </c>
      <c r="D9" s="7"/>
      <c r="E9" s="201" t="s">
        <v>154</v>
      </c>
      <c r="F9" s="202"/>
      <c r="G9" s="183">
        <v>360000</v>
      </c>
    </row>
    <row r="10" spans="1:7" ht="21.75" customHeight="1" x14ac:dyDescent="0.3">
      <c r="A10" s="5"/>
      <c r="B10" s="8" t="s">
        <v>1</v>
      </c>
      <c r="C10" s="195" t="s">
        <v>145</v>
      </c>
      <c r="D10" s="9"/>
      <c r="E10" s="203" t="s">
        <v>2</v>
      </c>
      <c r="F10" s="204"/>
      <c r="G10" s="153" t="s">
        <v>100</v>
      </c>
    </row>
    <row r="11" spans="1:7" ht="18" customHeight="1" x14ac:dyDescent="0.3">
      <c r="A11" s="5"/>
      <c r="B11" s="8" t="s">
        <v>3</v>
      </c>
      <c r="C11" s="150" t="s">
        <v>116</v>
      </c>
      <c r="D11" s="9"/>
      <c r="E11" s="203" t="s">
        <v>155</v>
      </c>
      <c r="F11" s="204"/>
      <c r="G11" s="196">
        <v>92</v>
      </c>
    </row>
    <row r="12" spans="1:7" ht="11.25" customHeight="1" x14ac:dyDescent="0.3">
      <c r="A12" s="5"/>
      <c r="B12" s="8" t="s">
        <v>4</v>
      </c>
      <c r="C12" s="138" t="s">
        <v>62</v>
      </c>
      <c r="D12" s="9"/>
      <c r="E12" s="10" t="s">
        <v>5</v>
      </c>
      <c r="F12" s="11"/>
      <c r="G12" s="197">
        <f>G11*G9</f>
        <v>33120000</v>
      </c>
    </row>
    <row r="13" spans="1:7" ht="11.25" customHeight="1" x14ac:dyDescent="0.3">
      <c r="A13" s="5"/>
      <c r="B13" s="8" t="s">
        <v>6</v>
      </c>
      <c r="C13" s="138" t="s">
        <v>112</v>
      </c>
      <c r="D13" s="9"/>
      <c r="E13" s="203" t="s">
        <v>7</v>
      </c>
      <c r="F13" s="204"/>
      <c r="G13" s="153" t="s">
        <v>101</v>
      </c>
    </row>
    <row r="14" spans="1:7" ht="13.5" customHeight="1" x14ac:dyDescent="0.3">
      <c r="A14" s="5"/>
      <c r="B14" s="8" t="s">
        <v>8</v>
      </c>
      <c r="C14" s="138" t="s">
        <v>61</v>
      </c>
      <c r="D14" s="9"/>
      <c r="E14" s="203" t="s">
        <v>9</v>
      </c>
      <c r="F14" s="204"/>
      <c r="G14" s="153" t="s">
        <v>100</v>
      </c>
    </row>
    <row r="15" spans="1:7" ht="16.5" customHeight="1" x14ac:dyDescent="0.3">
      <c r="A15" s="5"/>
      <c r="B15" s="8" t="s">
        <v>10</v>
      </c>
      <c r="C15" s="134">
        <v>44562</v>
      </c>
      <c r="D15" s="9"/>
      <c r="E15" s="205" t="s">
        <v>11</v>
      </c>
      <c r="F15" s="206"/>
      <c r="G15" s="154" t="s">
        <v>102</v>
      </c>
    </row>
    <row r="16" spans="1:7" ht="12" customHeight="1" x14ac:dyDescent="0.3">
      <c r="A16" s="2"/>
      <c r="B16" s="12"/>
      <c r="C16" s="13"/>
      <c r="D16" s="14"/>
      <c r="E16" s="15"/>
      <c r="F16" s="15"/>
      <c r="G16" s="102"/>
    </row>
    <row r="17" spans="1:7" ht="12" customHeight="1" x14ac:dyDescent="0.3">
      <c r="A17" s="16"/>
      <c r="B17" s="207" t="s">
        <v>12</v>
      </c>
      <c r="C17" s="208"/>
      <c r="D17" s="208"/>
      <c r="E17" s="208"/>
      <c r="F17" s="208"/>
      <c r="G17" s="208"/>
    </row>
    <row r="18" spans="1:7" ht="12" customHeight="1" x14ac:dyDescent="0.3">
      <c r="A18" s="2"/>
      <c r="B18" s="17"/>
      <c r="C18" s="18"/>
      <c r="D18" s="18"/>
      <c r="E18" s="18"/>
      <c r="F18" s="19"/>
      <c r="G18" s="103"/>
    </row>
    <row r="19" spans="1:7" ht="12" customHeight="1" x14ac:dyDescent="0.3">
      <c r="A19" s="5"/>
      <c r="B19" s="20" t="s">
        <v>13</v>
      </c>
      <c r="C19" s="21"/>
      <c r="D19" s="22"/>
      <c r="E19" s="22"/>
      <c r="F19" s="22"/>
      <c r="G19" s="104"/>
    </row>
    <row r="20" spans="1:7" ht="24" customHeight="1" x14ac:dyDescent="0.3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ht="27" customHeight="1" x14ac:dyDescent="0.3">
      <c r="A21" s="16"/>
      <c r="B21" s="139" t="s">
        <v>135</v>
      </c>
      <c r="C21" s="24"/>
      <c r="D21" s="93"/>
      <c r="E21" s="24"/>
      <c r="F21" s="125"/>
      <c r="G21" s="125"/>
    </row>
    <row r="22" spans="1:7" ht="25.5" customHeight="1" x14ac:dyDescent="0.3">
      <c r="A22" s="16"/>
      <c r="B22" s="174" t="s">
        <v>134</v>
      </c>
      <c r="C22" s="174" t="s">
        <v>20</v>
      </c>
      <c r="D22" s="175">
        <v>18</v>
      </c>
      <c r="E22" s="174" t="s">
        <v>63</v>
      </c>
      <c r="F22" s="176">
        <v>75000</v>
      </c>
      <c r="G22" s="176">
        <f>D22*F22/3</f>
        <v>450000</v>
      </c>
    </row>
    <row r="23" spans="1:7" ht="12.75" customHeight="1" x14ac:dyDescent="0.3">
      <c r="A23" s="16"/>
      <c r="B23" s="177" t="s">
        <v>141</v>
      </c>
      <c r="C23" s="178"/>
      <c r="D23" s="179"/>
      <c r="E23" s="178"/>
      <c r="F23" s="180"/>
      <c r="G23" s="180"/>
    </row>
    <row r="24" spans="1:7" ht="12.75" customHeight="1" x14ac:dyDescent="0.3">
      <c r="A24" s="16"/>
      <c r="B24" s="181" t="s">
        <v>65</v>
      </c>
      <c r="C24" s="178" t="s">
        <v>20</v>
      </c>
      <c r="D24" s="179">
        <v>12</v>
      </c>
      <c r="E24" s="178" t="s">
        <v>66</v>
      </c>
      <c r="F24" s="180">
        <v>27000</v>
      </c>
      <c r="G24" s="180">
        <f t="shared" ref="G24:G27" si="0">D24*F24</f>
        <v>324000</v>
      </c>
    </row>
    <row r="25" spans="1:7" ht="12.75" customHeight="1" x14ac:dyDescent="0.3">
      <c r="A25" s="16"/>
      <c r="B25" s="181" t="s">
        <v>67</v>
      </c>
      <c r="C25" s="193" t="s">
        <v>20</v>
      </c>
      <c r="D25" s="179">
        <v>3</v>
      </c>
      <c r="E25" s="178" t="s">
        <v>66</v>
      </c>
      <c r="F25" s="180">
        <v>27000</v>
      </c>
      <c r="G25" s="180">
        <f t="shared" si="0"/>
        <v>81000</v>
      </c>
    </row>
    <row r="26" spans="1:7" ht="12.75" customHeight="1" x14ac:dyDescent="0.3">
      <c r="A26" s="16"/>
      <c r="B26" s="181" t="s">
        <v>68</v>
      </c>
      <c r="C26" s="178" t="s">
        <v>20</v>
      </c>
      <c r="D26" s="179">
        <v>0.5</v>
      </c>
      <c r="E26" s="178" t="s">
        <v>66</v>
      </c>
      <c r="F26" s="180">
        <v>27000</v>
      </c>
      <c r="G26" s="180">
        <f t="shared" si="0"/>
        <v>13500</v>
      </c>
    </row>
    <row r="27" spans="1:7" ht="12.75" customHeight="1" x14ac:dyDescent="0.3">
      <c r="A27" s="16"/>
      <c r="B27" s="181" t="s">
        <v>69</v>
      </c>
      <c r="C27" s="178" t="s">
        <v>20</v>
      </c>
      <c r="D27" s="179">
        <v>11</v>
      </c>
      <c r="E27" s="178" t="s">
        <v>70</v>
      </c>
      <c r="F27" s="180">
        <v>27000</v>
      </c>
      <c r="G27" s="180">
        <f t="shared" si="0"/>
        <v>297000</v>
      </c>
    </row>
    <row r="28" spans="1:7" ht="12.75" customHeight="1" x14ac:dyDescent="0.3">
      <c r="A28" s="16"/>
      <c r="B28" s="181" t="s">
        <v>73</v>
      </c>
      <c r="C28" s="178" t="s">
        <v>20</v>
      </c>
      <c r="D28" s="182">
        <v>200</v>
      </c>
      <c r="E28" s="178" t="s">
        <v>72</v>
      </c>
      <c r="F28" s="180">
        <v>27000</v>
      </c>
      <c r="G28" s="180">
        <f t="shared" ref="G28:G38" si="1">D28*F28</f>
        <v>5400000</v>
      </c>
    </row>
    <row r="29" spans="1:7" ht="12.75" customHeight="1" x14ac:dyDescent="0.3">
      <c r="A29" s="16"/>
      <c r="B29" s="181" t="s">
        <v>74</v>
      </c>
      <c r="C29" s="178" t="s">
        <v>20</v>
      </c>
      <c r="D29" s="179">
        <v>25</v>
      </c>
      <c r="E29" s="178" t="s">
        <v>75</v>
      </c>
      <c r="F29" s="180">
        <v>27000</v>
      </c>
      <c r="G29" s="180">
        <f t="shared" si="1"/>
        <v>675000</v>
      </c>
    </row>
    <row r="30" spans="1:7" ht="12.75" customHeight="1" x14ac:dyDescent="0.3">
      <c r="A30" s="16"/>
      <c r="B30" s="181" t="s">
        <v>76</v>
      </c>
      <c r="C30" s="178" t="s">
        <v>20</v>
      </c>
      <c r="D30" s="179">
        <v>40</v>
      </c>
      <c r="E30" s="178" t="s">
        <v>77</v>
      </c>
      <c r="F30" s="180">
        <v>27000</v>
      </c>
      <c r="G30" s="180">
        <f t="shared" si="1"/>
        <v>1080000</v>
      </c>
    </row>
    <row r="31" spans="1:7" ht="12.75" customHeight="1" x14ac:dyDescent="0.3">
      <c r="A31" s="16"/>
      <c r="B31" s="181" t="s">
        <v>78</v>
      </c>
      <c r="C31" s="178" t="s">
        <v>20</v>
      </c>
      <c r="D31" s="182">
        <v>8.75</v>
      </c>
      <c r="E31" s="178" t="s">
        <v>77</v>
      </c>
      <c r="F31" s="180">
        <v>27000</v>
      </c>
      <c r="G31" s="180">
        <f t="shared" si="1"/>
        <v>236250</v>
      </c>
    </row>
    <row r="32" spans="1:7" ht="12.75" customHeight="1" x14ac:dyDescent="0.3">
      <c r="A32" s="16"/>
      <c r="B32" s="181" t="s">
        <v>79</v>
      </c>
      <c r="C32" s="178" t="s">
        <v>20</v>
      </c>
      <c r="D32" s="179">
        <v>12</v>
      </c>
      <c r="E32" s="178" t="s">
        <v>77</v>
      </c>
      <c r="F32" s="180">
        <v>27000</v>
      </c>
      <c r="G32" s="180">
        <f t="shared" si="1"/>
        <v>324000</v>
      </c>
    </row>
    <row r="33" spans="1:7" ht="12.75" customHeight="1" x14ac:dyDescent="0.3">
      <c r="A33" s="16"/>
      <c r="B33" s="181" t="s">
        <v>80</v>
      </c>
      <c r="C33" s="178" t="s">
        <v>20</v>
      </c>
      <c r="D33" s="182">
        <v>24</v>
      </c>
      <c r="E33" s="178" t="s">
        <v>81</v>
      </c>
      <c r="F33" s="180">
        <v>27000</v>
      </c>
      <c r="G33" s="180">
        <f t="shared" si="1"/>
        <v>648000</v>
      </c>
    </row>
    <row r="34" spans="1:7" ht="12.75" customHeight="1" x14ac:dyDescent="0.3">
      <c r="A34" s="16"/>
      <c r="B34" s="181" t="s">
        <v>82</v>
      </c>
      <c r="C34" s="178" t="s">
        <v>20</v>
      </c>
      <c r="D34" s="179">
        <v>15</v>
      </c>
      <c r="E34" s="178" t="s">
        <v>81</v>
      </c>
      <c r="F34" s="180">
        <v>27000</v>
      </c>
      <c r="G34" s="180">
        <f t="shared" si="1"/>
        <v>405000</v>
      </c>
    </row>
    <row r="35" spans="1:7" ht="12.75" customHeight="1" x14ac:dyDescent="0.3">
      <c r="A35" s="16"/>
      <c r="B35" s="177" t="s">
        <v>117</v>
      </c>
      <c r="C35" s="178"/>
      <c r="D35" s="179"/>
      <c r="E35" s="178"/>
      <c r="F35" s="180"/>
      <c r="G35" s="180"/>
    </row>
    <row r="36" spans="1:7" ht="12.75" customHeight="1" x14ac:dyDescent="0.3">
      <c r="A36" s="16"/>
      <c r="B36" s="181" t="s">
        <v>111</v>
      </c>
      <c r="C36" s="178" t="s">
        <v>20</v>
      </c>
      <c r="D36" s="179">
        <v>72</v>
      </c>
      <c r="E36" s="178" t="s">
        <v>153</v>
      </c>
      <c r="F36" s="180">
        <v>27000</v>
      </c>
      <c r="G36" s="180">
        <f t="shared" si="1"/>
        <v>1944000</v>
      </c>
    </row>
    <row r="37" spans="1:7" ht="27" customHeight="1" x14ac:dyDescent="0.3">
      <c r="A37" s="16"/>
      <c r="B37" s="177" t="s">
        <v>118</v>
      </c>
      <c r="C37" s="178"/>
      <c r="D37" s="179"/>
      <c r="E37" s="178"/>
      <c r="F37" s="180"/>
      <c r="G37" s="180"/>
    </row>
    <row r="38" spans="1:7" ht="12.75" customHeight="1" x14ac:dyDescent="0.3">
      <c r="A38" s="16"/>
      <c r="B38" s="181" t="s">
        <v>140</v>
      </c>
      <c r="C38" s="178" t="s">
        <v>20</v>
      </c>
      <c r="D38" s="179">
        <v>35</v>
      </c>
      <c r="E38" s="178" t="s">
        <v>153</v>
      </c>
      <c r="F38" s="180">
        <v>27000</v>
      </c>
      <c r="G38" s="180">
        <f t="shared" si="1"/>
        <v>945000</v>
      </c>
    </row>
    <row r="39" spans="1:7" ht="12.75" customHeight="1" x14ac:dyDescent="0.3">
      <c r="A39" s="16"/>
      <c r="B39" s="25" t="s">
        <v>21</v>
      </c>
      <c r="C39" s="26"/>
      <c r="D39" s="26"/>
      <c r="E39" s="26"/>
      <c r="F39" s="27"/>
      <c r="G39" s="126">
        <f>SUM(G21:G38)</f>
        <v>12822750</v>
      </c>
    </row>
    <row r="40" spans="1:7" ht="12" customHeight="1" x14ac:dyDescent="0.3">
      <c r="A40" s="2"/>
      <c r="B40" s="17"/>
      <c r="C40" s="19"/>
      <c r="D40" s="19"/>
      <c r="E40" s="19"/>
      <c r="F40" s="28"/>
      <c r="G40" s="105"/>
    </row>
    <row r="41" spans="1:7" ht="12" customHeight="1" x14ac:dyDescent="0.3">
      <c r="A41" s="5"/>
      <c r="B41" s="29" t="s">
        <v>22</v>
      </c>
      <c r="C41" s="30"/>
      <c r="D41" s="31"/>
      <c r="E41" s="31"/>
      <c r="F41" s="32"/>
      <c r="G41" s="106"/>
    </row>
    <row r="42" spans="1:7" ht="24" customHeight="1" x14ac:dyDescent="0.3">
      <c r="A42" s="5"/>
      <c r="B42" s="33" t="s">
        <v>14</v>
      </c>
      <c r="C42" s="34" t="s">
        <v>15</v>
      </c>
      <c r="D42" s="34" t="s">
        <v>16</v>
      </c>
      <c r="E42" s="33" t="s">
        <v>57</v>
      </c>
      <c r="F42" s="34" t="s">
        <v>18</v>
      </c>
      <c r="G42" s="33" t="s">
        <v>19</v>
      </c>
    </row>
    <row r="43" spans="1:7" ht="12" customHeight="1" x14ac:dyDescent="0.3">
      <c r="A43" s="5"/>
      <c r="B43" s="35" t="s">
        <v>83</v>
      </c>
      <c r="C43" s="36" t="s">
        <v>83</v>
      </c>
      <c r="D43" s="36" t="s">
        <v>83</v>
      </c>
      <c r="E43" s="36" t="s">
        <v>83</v>
      </c>
      <c r="F43" s="92"/>
      <c r="G43" s="128"/>
    </row>
    <row r="44" spans="1:7" ht="12" customHeight="1" x14ac:dyDescent="0.3">
      <c r="A44" s="5"/>
      <c r="B44" s="37" t="s">
        <v>23</v>
      </c>
      <c r="C44" s="38"/>
      <c r="D44" s="38"/>
      <c r="E44" s="38"/>
      <c r="F44" s="39"/>
      <c r="G44" s="129"/>
    </row>
    <row r="45" spans="1:7" ht="12" customHeight="1" x14ac:dyDescent="0.3">
      <c r="A45" s="2"/>
      <c r="B45" s="40"/>
      <c r="C45" s="41"/>
      <c r="D45" s="41"/>
      <c r="E45" s="41"/>
      <c r="F45" s="42"/>
      <c r="G45" s="107"/>
    </row>
    <row r="46" spans="1:7" ht="12" customHeight="1" x14ac:dyDescent="0.3">
      <c r="A46" s="5"/>
      <c r="B46" s="29" t="s">
        <v>24</v>
      </c>
      <c r="C46" s="30"/>
      <c r="D46" s="31"/>
      <c r="E46" s="31"/>
      <c r="F46" s="32"/>
      <c r="G46" s="106"/>
    </row>
    <row r="47" spans="1:7" ht="24" customHeight="1" x14ac:dyDescent="0.3">
      <c r="A47" s="5"/>
      <c r="B47" s="43" t="s">
        <v>14</v>
      </c>
      <c r="C47" s="43" t="s">
        <v>15</v>
      </c>
      <c r="D47" s="43" t="s">
        <v>16</v>
      </c>
      <c r="E47" s="43" t="s">
        <v>17</v>
      </c>
      <c r="F47" s="44" t="s">
        <v>18</v>
      </c>
      <c r="G47" s="43" t="s">
        <v>19</v>
      </c>
    </row>
    <row r="48" spans="1:7" ht="30" customHeight="1" x14ac:dyDescent="0.3">
      <c r="A48" s="16"/>
      <c r="B48" s="185" t="s">
        <v>132</v>
      </c>
      <c r="C48" s="171" t="s">
        <v>158</v>
      </c>
      <c r="D48" s="172">
        <v>1.61</v>
      </c>
      <c r="E48" s="171" t="s">
        <v>70</v>
      </c>
      <c r="F48" s="173">
        <v>176000</v>
      </c>
      <c r="G48" s="173">
        <f>D48*F48/2</f>
        <v>141680</v>
      </c>
    </row>
    <row r="49" spans="1:234" ht="12.75" customHeight="1" x14ac:dyDescent="0.3">
      <c r="A49" s="5"/>
      <c r="B49" s="45" t="s">
        <v>25</v>
      </c>
      <c r="C49" s="46"/>
      <c r="D49" s="46"/>
      <c r="E49" s="46"/>
      <c r="F49" s="46"/>
      <c r="G49" s="127">
        <f>SUM(G48:G48)</f>
        <v>141680</v>
      </c>
    </row>
    <row r="50" spans="1:234" ht="12" customHeight="1" x14ac:dyDescent="0.3">
      <c r="A50" s="2"/>
      <c r="B50" s="40"/>
      <c r="C50" s="41"/>
      <c r="D50" s="41"/>
      <c r="E50" s="41"/>
      <c r="F50" s="42"/>
      <c r="G50" s="107"/>
    </row>
    <row r="51" spans="1:234" ht="12" customHeight="1" x14ac:dyDescent="0.3">
      <c r="A51" s="5"/>
      <c r="B51" s="29" t="s">
        <v>26</v>
      </c>
      <c r="C51" s="30"/>
      <c r="D51" s="31"/>
      <c r="E51" s="31"/>
      <c r="F51" s="32"/>
      <c r="G51" s="106"/>
    </row>
    <row r="52" spans="1:234" ht="24" customHeight="1" x14ac:dyDescent="0.3">
      <c r="A52" s="5"/>
      <c r="B52" s="95" t="s">
        <v>27</v>
      </c>
      <c r="C52" s="95" t="s">
        <v>28</v>
      </c>
      <c r="D52" s="95" t="s">
        <v>29</v>
      </c>
      <c r="E52" s="95" t="s">
        <v>17</v>
      </c>
      <c r="F52" s="95" t="s">
        <v>18</v>
      </c>
      <c r="G52" s="108" t="s">
        <v>19</v>
      </c>
    </row>
    <row r="53" spans="1:234" ht="12.75" customHeight="1" x14ac:dyDescent="0.3">
      <c r="A53" s="56"/>
      <c r="B53" s="135" t="s">
        <v>120</v>
      </c>
      <c r="C53" s="98"/>
      <c r="D53" s="97"/>
      <c r="E53" s="98"/>
      <c r="F53" s="98"/>
      <c r="G53" s="97"/>
    </row>
    <row r="54" spans="1:234" ht="24" customHeight="1" x14ac:dyDescent="0.3">
      <c r="A54" s="56"/>
      <c r="B54" s="155" t="s">
        <v>137</v>
      </c>
      <c r="C54" s="156" t="s">
        <v>60</v>
      </c>
      <c r="D54" s="157">
        <f>2850-500</f>
        <v>2350</v>
      </c>
      <c r="E54" s="156" t="s">
        <v>64</v>
      </c>
      <c r="F54" s="159">
        <v>631</v>
      </c>
      <c r="G54" s="159">
        <f>D54*F54/3</f>
        <v>494283.33333333331</v>
      </c>
    </row>
    <row r="55" spans="1:234" ht="31.5" customHeight="1" x14ac:dyDescent="0.3">
      <c r="A55" s="56"/>
      <c r="B55" s="160" t="s">
        <v>142</v>
      </c>
      <c r="C55" s="156" t="s">
        <v>85</v>
      </c>
      <c r="D55" s="157">
        <v>500</v>
      </c>
      <c r="E55" s="156" t="s">
        <v>64</v>
      </c>
      <c r="F55" s="159">
        <f>2950*1.19</f>
        <v>3510.5</v>
      </c>
      <c r="G55" s="159">
        <f>D55*F55/2</f>
        <v>877625</v>
      </c>
    </row>
    <row r="56" spans="1:234" ht="26.25" customHeight="1" x14ac:dyDescent="0.3">
      <c r="A56" s="56"/>
      <c r="B56" s="160" t="s">
        <v>138</v>
      </c>
      <c r="C56" s="156" t="s">
        <v>60</v>
      </c>
      <c r="D56" s="157">
        <v>330</v>
      </c>
      <c r="E56" s="156" t="s">
        <v>64</v>
      </c>
      <c r="F56" s="159">
        <f>3700*1.19</f>
        <v>4403</v>
      </c>
      <c r="G56" s="159">
        <f>D56*F56/3</f>
        <v>484330</v>
      </c>
    </row>
    <row r="57" spans="1:234" ht="24.75" customHeight="1" x14ac:dyDescent="0.3">
      <c r="A57" s="56"/>
      <c r="B57" s="160" t="s">
        <v>139</v>
      </c>
      <c r="C57" s="156" t="s">
        <v>60</v>
      </c>
      <c r="D57" s="157">
        <v>230</v>
      </c>
      <c r="E57" s="156" t="s">
        <v>64</v>
      </c>
      <c r="F57" s="159">
        <f>3700*1.19</f>
        <v>4403</v>
      </c>
      <c r="G57" s="159">
        <f>D57*F57/3</f>
        <v>337563.33333333331</v>
      </c>
    </row>
    <row r="58" spans="1:234" ht="26.25" customHeight="1" x14ac:dyDescent="0.3">
      <c r="A58" s="56"/>
      <c r="B58" s="160" t="s">
        <v>124</v>
      </c>
      <c r="C58" s="156" t="s">
        <v>60</v>
      </c>
      <c r="D58" s="157">
        <v>215</v>
      </c>
      <c r="E58" s="156" t="s">
        <v>64</v>
      </c>
      <c r="F58" s="159">
        <f>3700*1.19</f>
        <v>4403</v>
      </c>
      <c r="G58" s="159">
        <f>D58*F58/3</f>
        <v>315548.33333333331</v>
      </c>
    </row>
    <row r="59" spans="1:234" ht="30" customHeight="1" x14ac:dyDescent="0.3">
      <c r="A59" s="56"/>
      <c r="B59" s="160" t="s">
        <v>125</v>
      </c>
      <c r="C59" s="156" t="s">
        <v>60</v>
      </c>
      <c r="D59" s="157">
        <v>80</v>
      </c>
      <c r="E59" s="156" t="s">
        <v>64</v>
      </c>
      <c r="F59" s="159">
        <f>2950*1.19</f>
        <v>3510.5</v>
      </c>
      <c r="G59" s="159">
        <f>D59*F59/2</f>
        <v>140420</v>
      </c>
    </row>
    <row r="60" spans="1:234" ht="28.5" customHeight="1" x14ac:dyDescent="0.3">
      <c r="A60" s="56"/>
      <c r="B60" s="143" t="s">
        <v>127</v>
      </c>
      <c r="C60" s="145" t="s">
        <v>126</v>
      </c>
      <c r="D60" s="140">
        <v>4</v>
      </c>
      <c r="E60" s="156" t="s">
        <v>64</v>
      </c>
      <c r="F60" s="141">
        <v>52836</v>
      </c>
      <c r="G60" s="142">
        <f>D60*F60/8</f>
        <v>26418</v>
      </c>
    </row>
    <row r="61" spans="1:234" ht="43.5" customHeight="1" x14ac:dyDescent="0.3">
      <c r="A61" s="56"/>
      <c r="B61" s="160" t="s">
        <v>143</v>
      </c>
      <c r="C61" s="156" t="s">
        <v>60</v>
      </c>
      <c r="D61" s="157">
        <v>150</v>
      </c>
      <c r="E61" s="156" t="s">
        <v>64</v>
      </c>
      <c r="F61" s="159">
        <f>2950*1.19</f>
        <v>3510.5</v>
      </c>
      <c r="G61" s="159">
        <f>D61*F61/2</f>
        <v>263287.5</v>
      </c>
    </row>
    <row r="62" spans="1:234" s="148" customFormat="1" ht="12.75" customHeight="1" x14ac:dyDescent="0.3">
      <c r="A62" s="146"/>
      <c r="B62" s="149" t="s">
        <v>128</v>
      </c>
      <c r="C62" s="165"/>
      <c r="D62" s="166"/>
      <c r="E62" s="165"/>
      <c r="F62" s="167"/>
      <c r="G62" s="16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47"/>
      <c r="DP62" s="147"/>
      <c r="DQ62" s="147"/>
      <c r="DR62" s="147"/>
      <c r="DS62" s="147"/>
      <c r="DT62" s="147"/>
      <c r="DU62" s="147"/>
      <c r="DV62" s="147"/>
      <c r="DW62" s="147"/>
      <c r="DX62" s="147"/>
      <c r="DY62" s="147"/>
      <c r="DZ62" s="147"/>
      <c r="EA62" s="147"/>
      <c r="EB62" s="147"/>
      <c r="EC62" s="147"/>
      <c r="ED62" s="147"/>
      <c r="EE62" s="147"/>
      <c r="EF62" s="147"/>
      <c r="EG62" s="147"/>
      <c r="EH62" s="147"/>
      <c r="EI62" s="147"/>
      <c r="EJ62" s="147"/>
      <c r="EK62" s="147"/>
      <c r="EL62" s="147"/>
      <c r="EM62" s="147"/>
      <c r="EN62" s="147"/>
      <c r="EO62" s="147"/>
      <c r="EP62" s="147"/>
      <c r="EQ62" s="147"/>
      <c r="ER62" s="147"/>
      <c r="ES62" s="147"/>
      <c r="ET62" s="147"/>
      <c r="EU62" s="147"/>
      <c r="EV62" s="147"/>
      <c r="EW62" s="147"/>
      <c r="EX62" s="147"/>
      <c r="EY62" s="147"/>
      <c r="EZ62" s="147"/>
      <c r="FA62" s="147"/>
      <c r="FB62" s="147"/>
      <c r="FC62" s="147"/>
      <c r="FD62" s="147"/>
      <c r="FE62" s="147"/>
      <c r="FF62" s="147"/>
      <c r="FG62" s="147"/>
      <c r="FH62" s="147"/>
      <c r="FI62" s="147"/>
      <c r="FJ62" s="147"/>
      <c r="FK62" s="147"/>
      <c r="FL62" s="147"/>
      <c r="FM62" s="147"/>
      <c r="FN62" s="147"/>
      <c r="FO62" s="147"/>
      <c r="FP62" s="147"/>
      <c r="FQ62" s="147"/>
      <c r="FR62" s="147"/>
      <c r="FS62" s="147"/>
      <c r="FT62" s="147"/>
      <c r="FU62" s="147"/>
      <c r="FV62" s="147"/>
      <c r="FW62" s="147"/>
      <c r="FX62" s="147"/>
      <c r="FY62" s="147"/>
      <c r="FZ62" s="147"/>
      <c r="GA62" s="147"/>
      <c r="GB62" s="147"/>
      <c r="GC62" s="147"/>
      <c r="GD62" s="147"/>
      <c r="GE62" s="147"/>
      <c r="GF62" s="147"/>
      <c r="GG62" s="147"/>
      <c r="GH62" s="147"/>
      <c r="GI62" s="147"/>
      <c r="GJ62" s="147"/>
      <c r="GK62" s="147"/>
      <c r="GL62" s="147"/>
      <c r="GM62" s="147"/>
      <c r="GN62" s="147"/>
      <c r="GO62" s="147"/>
      <c r="GP62" s="147"/>
      <c r="GQ62" s="147"/>
      <c r="GR62" s="147"/>
      <c r="GS62" s="147"/>
      <c r="GT62" s="147"/>
      <c r="GU62" s="147"/>
      <c r="GV62" s="147"/>
      <c r="GW62" s="147"/>
      <c r="GX62" s="147"/>
      <c r="GY62" s="147"/>
      <c r="GZ62" s="147"/>
      <c r="HA62" s="147"/>
      <c r="HB62" s="147"/>
      <c r="HC62" s="147"/>
      <c r="HD62" s="147"/>
      <c r="HE62" s="147"/>
      <c r="HF62" s="147"/>
      <c r="HG62" s="147"/>
      <c r="HH62" s="147"/>
      <c r="HI62" s="147"/>
      <c r="HJ62" s="147"/>
      <c r="HK62" s="147"/>
      <c r="HL62" s="147"/>
      <c r="HM62" s="147"/>
      <c r="HN62" s="147"/>
      <c r="HO62" s="147"/>
      <c r="HP62" s="147"/>
      <c r="HQ62" s="147"/>
      <c r="HR62" s="147"/>
      <c r="HS62" s="147"/>
      <c r="HT62" s="147"/>
      <c r="HU62" s="147"/>
      <c r="HV62" s="147"/>
      <c r="HW62" s="147"/>
      <c r="HX62" s="147"/>
      <c r="HY62" s="147"/>
      <c r="HZ62" s="147"/>
    </row>
    <row r="63" spans="1:234" ht="24.75" customHeight="1" x14ac:dyDescent="0.3">
      <c r="A63" s="56"/>
      <c r="B63" s="163" t="s">
        <v>136</v>
      </c>
      <c r="C63" s="156" t="s">
        <v>84</v>
      </c>
      <c r="D63" s="157">
        <v>11520</v>
      </c>
      <c r="E63" s="156" t="s">
        <v>71</v>
      </c>
      <c r="F63" s="159">
        <f>42*1.19</f>
        <v>49.98</v>
      </c>
      <c r="G63" s="159">
        <f>D63*F63/2</f>
        <v>287884.79999999999</v>
      </c>
    </row>
    <row r="64" spans="1:234" ht="12.75" customHeight="1" x14ac:dyDescent="0.3">
      <c r="A64" s="56"/>
      <c r="B64" s="160" t="s">
        <v>86</v>
      </c>
      <c r="C64" s="158" t="s">
        <v>60</v>
      </c>
      <c r="D64" s="184">
        <v>40.510127531882972</v>
      </c>
      <c r="E64" s="158" t="s">
        <v>108</v>
      </c>
      <c r="F64" s="162">
        <f>4202*1.19</f>
        <v>5000.38</v>
      </c>
      <c r="G64" s="162">
        <f t="shared" ref="G64" si="2">D64*F64</f>
        <v>202566.03150787699</v>
      </c>
    </row>
    <row r="65" spans="1:7" ht="27" customHeight="1" x14ac:dyDescent="0.3">
      <c r="A65" s="56"/>
      <c r="B65" s="160" t="s">
        <v>130</v>
      </c>
      <c r="C65" s="158" t="s">
        <v>129</v>
      </c>
      <c r="D65" s="184">
        <v>1</v>
      </c>
      <c r="E65" s="158" t="s">
        <v>131</v>
      </c>
      <c r="F65" s="162">
        <v>10000000</v>
      </c>
      <c r="G65" s="162">
        <f>D65*F65/8</f>
        <v>1250000</v>
      </c>
    </row>
    <row r="66" spans="1:7" ht="12.75" customHeight="1" x14ac:dyDescent="0.3">
      <c r="A66" s="56"/>
      <c r="B66" s="135" t="s">
        <v>146</v>
      </c>
      <c r="C66" s="94"/>
      <c r="D66" s="96"/>
      <c r="E66" s="94"/>
      <c r="F66" s="97"/>
      <c r="G66" s="97"/>
    </row>
    <row r="67" spans="1:7" ht="12.75" customHeight="1" x14ac:dyDescent="0.3">
      <c r="A67" s="56"/>
      <c r="B67" s="163" t="s">
        <v>147</v>
      </c>
      <c r="C67" s="158" t="s">
        <v>59</v>
      </c>
      <c r="D67" s="161">
        <v>32000</v>
      </c>
      <c r="E67" s="158" t="s">
        <v>70</v>
      </c>
      <c r="F67" s="162">
        <v>250</v>
      </c>
      <c r="G67" s="162">
        <f>D67*F67</f>
        <v>8000000</v>
      </c>
    </row>
    <row r="68" spans="1:7" ht="12.75" customHeight="1" x14ac:dyDescent="0.3">
      <c r="A68" s="56"/>
      <c r="C68" s="94"/>
      <c r="D68" s="96"/>
      <c r="E68" s="94"/>
      <c r="F68" s="97"/>
      <c r="G68" s="97"/>
    </row>
    <row r="69" spans="1:7" ht="12.75" customHeight="1" x14ac:dyDescent="0.3">
      <c r="A69" s="56"/>
      <c r="B69" s="136" t="s">
        <v>58</v>
      </c>
      <c r="C69" s="94"/>
      <c r="D69" s="96"/>
      <c r="E69" s="94"/>
      <c r="F69" s="97"/>
      <c r="G69" s="97"/>
    </row>
    <row r="70" spans="1:7" ht="12.75" customHeight="1" x14ac:dyDescent="0.3">
      <c r="A70" s="56"/>
      <c r="B70" s="164" t="s">
        <v>87</v>
      </c>
      <c r="C70" s="158" t="s">
        <v>88</v>
      </c>
      <c r="D70" s="161">
        <v>15</v>
      </c>
      <c r="E70" s="158" t="s">
        <v>70</v>
      </c>
      <c r="F70" s="162">
        <v>8000</v>
      </c>
      <c r="G70" s="162">
        <f t="shared" ref="G70:G92" si="3">D70*F70</f>
        <v>120000</v>
      </c>
    </row>
    <row r="71" spans="1:7" ht="12.75" customHeight="1" x14ac:dyDescent="0.3">
      <c r="A71" s="56"/>
      <c r="B71" s="164" t="s">
        <v>89</v>
      </c>
      <c r="C71" s="158" t="s">
        <v>85</v>
      </c>
      <c r="D71" s="161">
        <v>200</v>
      </c>
      <c r="E71" s="158" t="s">
        <v>70</v>
      </c>
      <c r="F71" s="162">
        <f>897*1.19</f>
        <v>1067.43</v>
      </c>
      <c r="G71" s="162">
        <f t="shared" si="3"/>
        <v>213486</v>
      </c>
    </row>
    <row r="72" spans="1:7" ht="12.75" customHeight="1" x14ac:dyDescent="0.3">
      <c r="A72" s="56"/>
      <c r="B72" s="164" t="s">
        <v>90</v>
      </c>
      <c r="C72" s="158" t="s">
        <v>91</v>
      </c>
      <c r="D72" s="161">
        <v>600</v>
      </c>
      <c r="E72" s="158" t="s">
        <v>77</v>
      </c>
      <c r="F72" s="162">
        <f>1495*1.19</f>
        <v>1779.05</v>
      </c>
      <c r="G72" s="162">
        <f t="shared" si="3"/>
        <v>1067430</v>
      </c>
    </row>
    <row r="73" spans="1:7" ht="12.75" customHeight="1" x14ac:dyDescent="0.3">
      <c r="A73" s="56"/>
      <c r="B73" s="164" t="s">
        <v>92</v>
      </c>
      <c r="C73" s="158" t="s">
        <v>85</v>
      </c>
      <c r="D73" s="161">
        <v>300</v>
      </c>
      <c r="E73" s="158" t="s">
        <v>77</v>
      </c>
      <c r="F73" s="162">
        <f>666*1.19</f>
        <v>792.54</v>
      </c>
      <c r="G73" s="162">
        <f t="shared" si="3"/>
        <v>237762</v>
      </c>
    </row>
    <row r="74" spans="1:7" ht="12.75" customHeight="1" x14ac:dyDescent="0.3">
      <c r="A74" s="56"/>
      <c r="B74" s="164" t="s">
        <v>93</v>
      </c>
      <c r="C74" s="158" t="s">
        <v>85</v>
      </c>
      <c r="D74" s="161">
        <v>100</v>
      </c>
      <c r="E74" s="158" t="s">
        <v>77</v>
      </c>
      <c r="F74" s="162">
        <f>598*1.19</f>
        <v>711.62</v>
      </c>
      <c r="G74" s="162">
        <f t="shared" si="3"/>
        <v>71162</v>
      </c>
    </row>
    <row r="75" spans="1:7" ht="12.75" customHeight="1" x14ac:dyDescent="0.3">
      <c r="A75" s="56"/>
      <c r="B75" s="164" t="s">
        <v>94</v>
      </c>
      <c r="C75" s="158" t="s">
        <v>85</v>
      </c>
      <c r="D75" s="161">
        <v>100</v>
      </c>
      <c r="E75" s="158" t="s">
        <v>77</v>
      </c>
      <c r="F75" s="162">
        <f>1610*1.19</f>
        <v>1915.8999999999999</v>
      </c>
      <c r="G75" s="162">
        <f t="shared" si="3"/>
        <v>191590</v>
      </c>
    </row>
    <row r="76" spans="1:7" ht="12.75" customHeight="1" x14ac:dyDescent="0.3">
      <c r="A76" s="56"/>
      <c r="B76" s="164" t="s">
        <v>95</v>
      </c>
      <c r="C76" s="158" t="s">
        <v>85</v>
      </c>
      <c r="D76" s="161">
        <v>25</v>
      </c>
      <c r="E76" s="158" t="s">
        <v>77</v>
      </c>
      <c r="F76" s="162">
        <f>358*1.19</f>
        <v>426.02</v>
      </c>
      <c r="G76" s="162">
        <f t="shared" si="3"/>
        <v>10650.5</v>
      </c>
    </row>
    <row r="77" spans="1:7" ht="12.75" customHeight="1" x14ac:dyDescent="0.3">
      <c r="A77" s="56"/>
      <c r="B77" s="164" t="s">
        <v>96</v>
      </c>
      <c r="C77" s="158" t="s">
        <v>85</v>
      </c>
      <c r="D77" s="161">
        <v>25</v>
      </c>
      <c r="E77" s="158" t="s">
        <v>97</v>
      </c>
      <c r="F77" s="162">
        <f>2690*1.19</f>
        <v>3201.1</v>
      </c>
      <c r="G77" s="162">
        <f t="shared" si="3"/>
        <v>80027.5</v>
      </c>
    </row>
    <row r="78" spans="1:7" ht="12.75" customHeight="1" x14ac:dyDescent="0.3">
      <c r="A78" s="56"/>
      <c r="B78" s="135" t="s">
        <v>119</v>
      </c>
      <c r="C78" s="94"/>
      <c r="D78" s="96"/>
      <c r="E78" s="94"/>
      <c r="F78" s="97"/>
      <c r="G78" s="97"/>
    </row>
    <row r="79" spans="1:7" ht="12.75" customHeight="1" x14ac:dyDescent="0.3">
      <c r="A79" s="56"/>
      <c r="B79" s="194" t="s">
        <v>103</v>
      </c>
      <c r="C79" s="94"/>
      <c r="D79" s="96"/>
      <c r="E79" s="94"/>
      <c r="F79" s="97"/>
      <c r="G79" s="97"/>
    </row>
    <row r="80" spans="1:7" ht="12.75" customHeight="1" x14ac:dyDescent="0.3">
      <c r="A80" s="56"/>
      <c r="B80" s="198" t="s">
        <v>148</v>
      </c>
      <c r="C80" s="94" t="s">
        <v>133</v>
      </c>
      <c r="D80" s="96">
        <v>2</v>
      </c>
      <c r="E80" s="94" t="s">
        <v>77</v>
      </c>
      <c r="F80" s="97">
        <v>27665</v>
      </c>
      <c r="G80" s="97">
        <f>D80*F80</f>
        <v>55330</v>
      </c>
    </row>
    <row r="81" spans="1:234" ht="12.75" customHeight="1" x14ac:dyDescent="0.3">
      <c r="A81" s="56"/>
      <c r="B81" s="186" t="s">
        <v>121</v>
      </c>
      <c r="C81" s="187" t="s">
        <v>133</v>
      </c>
      <c r="D81" s="188">
        <v>1</v>
      </c>
      <c r="E81" s="187" t="s">
        <v>77</v>
      </c>
      <c r="F81" s="189">
        <v>5500</v>
      </c>
      <c r="G81" s="189">
        <f>D81*F81</f>
        <v>5500</v>
      </c>
    </row>
    <row r="82" spans="1:234" s="148" customFormat="1" ht="12.75" hidden="1" customHeight="1" x14ac:dyDescent="0.3">
      <c r="A82" s="146"/>
      <c r="B82" s="186"/>
      <c r="C82" s="187"/>
      <c r="D82" s="188"/>
      <c r="E82" s="187"/>
      <c r="F82" s="189"/>
      <c r="G82" s="189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7"/>
      <c r="BM82" s="147"/>
      <c r="BN82" s="147"/>
      <c r="BO82" s="147"/>
      <c r="BP82" s="147"/>
      <c r="BQ82" s="147"/>
      <c r="BR82" s="147"/>
      <c r="BS82" s="147"/>
      <c r="BT82" s="147"/>
      <c r="BU82" s="147"/>
      <c r="BV82" s="147"/>
      <c r="BW82" s="147"/>
      <c r="BX82" s="147"/>
      <c r="BY82" s="147"/>
      <c r="BZ82" s="147"/>
      <c r="CA82" s="147"/>
      <c r="CB82" s="147"/>
      <c r="CC82" s="147"/>
      <c r="CD82" s="147"/>
      <c r="CE82" s="147"/>
      <c r="CF82" s="147"/>
      <c r="CG82" s="147"/>
      <c r="CH82" s="147"/>
      <c r="CI82" s="147"/>
      <c r="CJ82" s="147"/>
      <c r="CK82" s="147"/>
      <c r="CL82" s="147"/>
      <c r="CM82" s="147"/>
      <c r="CN82" s="147"/>
      <c r="CO82" s="147"/>
      <c r="CP82" s="147"/>
      <c r="CQ82" s="147"/>
      <c r="CR82" s="147"/>
      <c r="CS82" s="147"/>
      <c r="CT82" s="147"/>
      <c r="CU82" s="147"/>
      <c r="CV82" s="147"/>
      <c r="CW82" s="147"/>
      <c r="CX82" s="147"/>
      <c r="CY82" s="147"/>
      <c r="CZ82" s="147"/>
      <c r="DA82" s="147"/>
      <c r="DB82" s="147"/>
      <c r="DC82" s="147"/>
      <c r="DD82" s="147"/>
      <c r="DE82" s="147"/>
      <c r="DF82" s="147"/>
      <c r="DG82" s="147"/>
      <c r="DH82" s="147"/>
      <c r="DI82" s="147"/>
      <c r="DJ82" s="147"/>
      <c r="DK82" s="147"/>
      <c r="DL82" s="147"/>
      <c r="DM82" s="147"/>
      <c r="DN82" s="147"/>
      <c r="DO82" s="147"/>
      <c r="DP82" s="147"/>
      <c r="DQ82" s="147"/>
      <c r="DR82" s="147"/>
      <c r="DS82" s="147"/>
      <c r="DT82" s="147"/>
      <c r="DU82" s="147"/>
      <c r="DV82" s="147"/>
      <c r="DW82" s="147"/>
      <c r="DX82" s="147"/>
      <c r="DY82" s="147"/>
      <c r="DZ82" s="147"/>
      <c r="EA82" s="147"/>
      <c r="EB82" s="147"/>
      <c r="EC82" s="147"/>
      <c r="ED82" s="147"/>
      <c r="EE82" s="147"/>
      <c r="EF82" s="147"/>
      <c r="EG82" s="147"/>
      <c r="EH82" s="147"/>
      <c r="EI82" s="147"/>
      <c r="EJ82" s="147"/>
      <c r="EK82" s="147"/>
      <c r="EL82" s="147"/>
      <c r="EM82" s="147"/>
      <c r="EN82" s="147"/>
      <c r="EO82" s="147"/>
      <c r="EP82" s="147"/>
      <c r="EQ82" s="147"/>
      <c r="ER82" s="147"/>
      <c r="ES82" s="147"/>
      <c r="ET82" s="147"/>
      <c r="EU82" s="147"/>
      <c r="EV82" s="147"/>
      <c r="EW82" s="147"/>
      <c r="EX82" s="147"/>
      <c r="EY82" s="147"/>
      <c r="EZ82" s="147"/>
      <c r="FA82" s="147"/>
      <c r="FB82" s="147"/>
      <c r="FC82" s="147"/>
      <c r="FD82" s="147"/>
      <c r="FE82" s="147"/>
      <c r="FF82" s="147"/>
      <c r="FG82" s="147"/>
      <c r="FH82" s="147"/>
      <c r="FI82" s="147"/>
      <c r="FJ82" s="147"/>
      <c r="FK82" s="147"/>
      <c r="FL82" s="147"/>
      <c r="FM82" s="147"/>
      <c r="FN82" s="147"/>
      <c r="FO82" s="147"/>
      <c r="FP82" s="147"/>
      <c r="FQ82" s="147"/>
      <c r="FR82" s="147"/>
      <c r="FS82" s="147"/>
      <c r="FT82" s="147"/>
      <c r="FU82" s="147"/>
      <c r="FV82" s="147"/>
      <c r="FW82" s="147"/>
      <c r="FX82" s="147"/>
      <c r="FY82" s="147"/>
      <c r="FZ82" s="147"/>
      <c r="GA82" s="147"/>
      <c r="GB82" s="147"/>
      <c r="GC82" s="147"/>
      <c r="GD82" s="147"/>
      <c r="GE82" s="147"/>
      <c r="GF82" s="147"/>
      <c r="GG82" s="147"/>
      <c r="GH82" s="147"/>
      <c r="GI82" s="147"/>
      <c r="GJ82" s="147"/>
      <c r="GK82" s="147"/>
      <c r="GL82" s="147"/>
      <c r="GM82" s="147"/>
      <c r="GN82" s="147"/>
      <c r="GO82" s="147"/>
      <c r="GP82" s="147"/>
      <c r="GQ82" s="147"/>
      <c r="GR82" s="147"/>
      <c r="GS82" s="147"/>
      <c r="GT82" s="147"/>
      <c r="GU82" s="147"/>
      <c r="GV82" s="147"/>
      <c r="GW82" s="147"/>
      <c r="GX82" s="147"/>
      <c r="GY82" s="147"/>
      <c r="GZ82" s="147"/>
      <c r="HA82" s="147"/>
      <c r="HB82" s="147"/>
      <c r="HC82" s="147"/>
      <c r="HD82" s="147"/>
      <c r="HE82" s="147"/>
      <c r="HF82" s="147"/>
      <c r="HG82" s="147"/>
      <c r="HH82" s="147"/>
      <c r="HI82" s="147"/>
      <c r="HJ82" s="147"/>
      <c r="HK82" s="147"/>
      <c r="HL82" s="147"/>
      <c r="HM82" s="147"/>
      <c r="HN82" s="147"/>
      <c r="HO82" s="147"/>
      <c r="HP82" s="147"/>
      <c r="HQ82" s="147"/>
      <c r="HR82" s="147"/>
      <c r="HS82" s="147"/>
      <c r="HT82" s="147"/>
      <c r="HU82" s="147"/>
      <c r="HV82" s="147"/>
      <c r="HW82" s="147"/>
      <c r="HX82" s="147"/>
      <c r="HY82" s="147"/>
      <c r="HZ82" s="147"/>
    </row>
    <row r="83" spans="1:234" ht="12.75" hidden="1" customHeight="1" x14ac:dyDescent="0.3">
      <c r="A83" s="56"/>
      <c r="B83" s="186"/>
      <c r="C83" s="187"/>
      <c r="D83" s="188"/>
      <c r="E83" s="187"/>
      <c r="F83" s="189"/>
      <c r="G83" s="189"/>
    </row>
    <row r="84" spans="1:234" ht="12.75" hidden="1" customHeight="1" x14ac:dyDescent="0.3">
      <c r="A84" s="56"/>
      <c r="B84" s="186"/>
      <c r="C84" s="187"/>
      <c r="D84" s="188"/>
      <c r="E84" s="187"/>
      <c r="F84" s="189"/>
      <c r="G84" s="189"/>
    </row>
    <row r="85" spans="1:234" ht="12.75" customHeight="1" x14ac:dyDescent="0.3">
      <c r="A85" s="56"/>
      <c r="B85" s="186" t="s">
        <v>149</v>
      </c>
      <c r="C85" s="187" t="s">
        <v>133</v>
      </c>
      <c r="D85" s="188">
        <v>2</v>
      </c>
      <c r="E85" s="187" t="s">
        <v>77</v>
      </c>
      <c r="F85" s="189">
        <v>97052</v>
      </c>
      <c r="G85" s="189">
        <f>D85*F85</f>
        <v>194104</v>
      </c>
    </row>
    <row r="86" spans="1:234" ht="12.75" customHeight="1" x14ac:dyDescent="0.3">
      <c r="A86" s="56"/>
      <c r="B86" s="186" t="s">
        <v>150</v>
      </c>
      <c r="C86" s="187" t="s">
        <v>85</v>
      </c>
      <c r="D86" s="188">
        <v>1</v>
      </c>
      <c r="E86" s="187" t="s">
        <v>77</v>
      </c>
      <c r="F86" s="189">
        <v>73120</v>
      </c>
      <c r="G86" s="189">
        <f>D86*F86</f>
        <v>73120</v>
      </c>
    </row>
    <row r="87" spans="1:234" ht="12.75" customHeight="1" x14ac:dyDescent="0.3">
      <c r="A87" s="56"/>
      <c r="B87" s="190" t="s">
        <v>104</v>
      </c>
      <c r="C87" s="187"/>
      <c r="D87" s="188"/>
      <c r="E87" s="187"/>
      <c r="F87" s="189"/>
      <c r="G87" s="189"/>
    </row>
    <row r="88" spans="1:234" ht="12.75" customHeight="1" x14ac:dyDescent="0.3">
      <c r="A88" s="56"/>
      <c r="B88" s="186" t="s">
        <v>151</v>
      </c>
      <c r="C88" s="187" t="s">
        <v>133</v>
      </c>
      <c r="D88" s="188">
        <v>1</v>
      </c>
      <c r="E88" s="187" t="s">
        <v>77</v>
      </c>
      <c r="F88" s="189">
        <v>61750</v>
      </c>
      <c r="G88" s="189">
        <f>D88*F88</f>
        <v>61750</v>
      </c>
    </row>
    <row r="89" spans="1:234" ht="12.75" customHeight="1" x14ac:dyDescent="0.3">
      <c r="A89" s="56"/>
      <c r="B89" s="186" t="s">
        <v>152</v>
      </c>
      <c r="C89" s="187" t="s">
        <v>85</v>
      </c>
      <c r="D89" s="188">
        <v>2</v>
      </c>
      <c r="E89" s="187" t="s">
        <v>77</v>
      </c>
      <c r="F89" s="189">
        <v>174812</v>
      </c>
      <c r="G89" s="189">
        <f>D89*F89</f>
        <v>349624</v>
      </c>
    </row>
    <row r="90" spans="1:234" ht="12.75" customHeight="1" x14ac:dyDescent="0.3">
      <c r="A90" s="56"/>
      <c r="B90" s="186" t="s">
        <v>98</v>
      </c>
      <c r="C90" s="187" t="s">
        <v>85</v>
      </c>
      <c r="D90" s="188">
        <v>1</v>
      </c>
      <c r="E90" s="187" t="s">
        <v>99</v>
      </c>
      <c r="F90" s="189">
        <f>87311*1.19</f>
        <v>103900.09</v>
      </c>
      <c r="G90" s="189">
        <f>D90*F90</f>
        <v>103900.09</v>
      </c>
    </row>
    <row r="91" spans="1:234" ht="12.75" customHeight="1" x14ac:dyDescent="0.3">
      <c r="A91" s="56"/>
      <c r="B91" s="186" t="s">
        <v>115</v>
      </c>
      <c r="C91" s="187" t="s">
        <v>113</v>
      </c>
      <c r="D91" s="188">
        <v>5</v>
      </c>
      <c r="E91" s="187" t="s">
        <v>114</v>
      </c>
      <c r="F91" s="189">
        <f>1728*1.19</f>
        <v>2056.3199999999997</v>
      </c>
      <c r="G91" s="189">
        <f t="shared" si="3"/>
        <v>10281.599999999999</v>
      </c>
    </row>
    <row r="92" spans="1:234" ht="12.75" customHeight="1" x14ac:dyDescent="0.3">
      <c r="A92" s="56"/>
      <c r="B92" s="136" t="s">
        <v>122</v>
      </c>
      <c r="C92" s="94"/>
      <c r="D92" s="96"/>
      <c r="E92" s="94"/>
      <c r="F92" s="97"/>
      <c r="G92" s="97">
        <f t="shared" si="3"/>
        <v>0</v>
      </c>
    </row>
    <row r="93" spans="1:234" ht="12.75" customHeight="1" x14ac:dyDescent="0.3">
      <c r="A93" s="56"/>
      <c r="B93" s="144" t="s">
        <v>109</v>
      </c>
      <c r="C93" s="192" t="s">
        <v>123</v>
      </c>
      <c r="D93" s="151">
        <f>2/2</f>
        <v>1</v>
      </c>
      <c r="E93" s="168" t="s">
        <v>108</v>
      </c>
      <c r="F93" s="151">
        <f>56000*1.19</f>
        <v>66640</v>
      </c>
      <c r="G93" s="151">
        <f>F93*D93</f>
        <v>66640</v>
      </c>
    </row>
    <row r="94" spans="1:234" ht="12.75" customHeight="1" x14ac:dyDescent="0.3">
      <c r="A94" s="56"/>
      <c r="B94" s="99"/>
      <c r="C94" s="94"/>
      <c r="D94" s="96"/>
      <c r="E94" s="94"/>
      <c r="F94" s="97"/>
      <c r="G94" s="97"/>
    </row>
    <row r="95" spans="1:234" ht="13.5" customHeight="1" x14ac:dyDescent="0.3">
      <c r="A95" s="56"/>
      <c r="B95" s="121" t="s">
        <v>30</v>
      </c>
      <c r="C95" s="122"/>
      <c r="D95" s="122"/>
      <c r="E95" s="122"/>
      <c r="F95" s="123"/>
      <c r="G95" s="130">
        <f>SUM(G54:G93)</f>
        <v>15592284.021507876</v>
      </c>
    </row>
    <row r="96" spans="1:234" ht="12" customHeight="1" x14ac:dyDescent="0.3">
      <c r="A96" s="2"/>
      <c r="B96" s="116"/>
      <c r="C96" s="117"/>
      <c r="D96" s="117"/>
      <c r="E96" s="118"/>
      <c r="F96" s="119"/>
      <c r="G96" s="120"/>
    </row>
    <row r="97" spans="1:7" ht="12" customHeight="1" x14ac:dyDescent="0.3">
      <c r="A97" s="5"/>
      <c r="B97" s="29" t="s">
        <v>31</v>
      </c>
      <c r="C97" s="30"/>
      <c r="D97" s="31"/>
      <c r="E97" s="31"/>
      <c r="F97" s="32"/>
      <c r="G97" s="106"/>
    </row>
    <row r="98" spans="1:7" ht="24" customHeight="1" x14ac:dyDescent="0.3">
      <c r="A98" s="5"/>
      <c r="B98" s="115" t="s">
        <v>32</v>
      </c>
      <c r="C98" s="95" t="s">
        <v>28</v>
      </c>
      <c r="D98" s="95" t="s">
        <v>29</v>
      </c>
      <c r="E98" s="115" t="s">
        <v>17</v>
      </c>
      <c r="F98" s="95" t="s">
        <v>18</v>
      </c>
      <c r="G98" s="115" t="s">
        <v>19</v>
      </c>
    </row>
    <row r="99" spans="1:7" ht="16.5" customHeight="1" x14ac:dyDescent="0.3">
      <c r="A99" s="56"/>
      <c r="B99" s="169" t="s">
        <v>105</v>
      </c>
      <c r="C99" s="169" t="s">
        <v>106</v>
      </c>
      <c r="D99" s="169">
        <v>6</v>
      </c>
      <c r="E99" s="169" t="s">
        <v>107</v>
      </c>
      <c r="F99" s="170">
        <v>100000</v>
      </c>
      <c r="G99" s="170">
        <f t="shared" ref="G99" si="4">F99*D99</f>
        <v>600000</v>
      </c>
    </row>
    <row r="100" spans="1:7" ht="13.5" customHeight="1" x14ac:dyDescent="0.3">
      <c r="A100" s="5"/>
      <c r="B100" s="152" t="s">
        <v>33</v>
      </c>
      <c r="C100" s="47"/>
      <c r="D100" s="47"/>
      <c r="E100" s="114"/>
      <c r="F100" s="48"/>
      <c r="G100" s="131">
        <f>SUM(G99)</f>
        <v>600000</v>
      </c>
    </row>
    <row r="101" spans="1:7" ht="12" customHeight="1" x14ac:dyDescent="0.3">
      <c r="A101" s="2"/>
      <c r="B101" s="59"/>
      <c r="C101" s="59"/>
      <c r="D101" s="59"/>
      <c r="E101" s="59"/>
      <c r="F101" s="60"/>
      <c r="G101" s="109"/>
    </row>
    <row r="102" spans="1:7" ht="12" customHeight="1" x14ac:dyDescent="0.3">
      <c r="A102" s="56"/>
      <c r="B102" s="61" t="s">
        <v>34</v>
      </c>
      <c r="C102" s="62"/>
      <c r="D102" s="62"/>
      <c r="E102" s="62"/>
      <c r="F102" s="62"/>
      <c r="G102" s="63">
        <f>G39+G44+G49+G95+G100</f>
        <v>29156714.021507874</v>
      </c>
    </row>
    <row r="103" spans="1:7" ht="12" customHeight="1" x14ac:dyDescent="0.3">
      <c r="A103" s="56"/>
      <c r="B103" s="64" t="s">
        <v>35</v>
      </c>
      <c r="C103" s="50"/>
      <c r="D103" s="50"/>
      <c r="E103" s="50"/>
      <c r="F103" s="50"/>
      <c r="G103" s="65">
        <f>G102*0.05</f>
        <v>1457835.7010753937</v>
      </c>
    </row>
    <row r="104" spans="1:7" ht="12" customHeight="1" x14ac:dyDescent="0.3">
      <c r="A104" s="56"/>
      <c r="B104" s="66" t="s">
        <v>36</v>
      </c>
      <c r="C104" s="49"/>
      <c r="D104" s="49"/>
      <c r="E104" s="49"/>
      <c r="F104" s="49"/>
      <c r="G104" s="67">
        <f>G103+G102</f>
        <v>30614549.722583268</v>
      </c>
    </row>
    <row r="105" spans="1:7" ht="12" customHeight="1" x14ac:dyDescent="0.3">
      <c r="A105" s="56"/>
      <c r="B105" s="64" t="s">
        <v>37</v>
      </c>
      <c r="C105" s="50"/>
      <c r="D105" s="50"/>
      <c r="E105" s="50"/>
      <c r="F105" s="50"/>
      <c r="G105" s="65">
        <f>G12</f>
        <v>33120000</v>
      </c>
    </row>
    <row r="106" spans="1:7" ht="12" customHeight="1" x14ac:dyDescent="0.3">
      <c r="A106" s="56"/>
      <c r="B106" s="68" t="s">
        <v>38</v>
      </c>
      <c r="C106" s="69"/>
      <c r="D106" s="69"/>
      <c r="E106" s="69"/>
      <c r="F106" s="69"/>
      <c r="G106" s="63">
        <f>G105-G104</f>
        <v>2505450.2774167322</v>
      </c>
    </row>
    <row r="107" spans="1:7" ht="12" customHeight="1" x14ac:dyDescent="0.3">
      <c r="A107" s="56"/>
      <c r="B107" s="57" t="s">
        <v>39</v>
      </c>
      <c r="C107" s="58"/>
      <c r="D107" s="58"/>
      <c r="E107" s="58"/>
      <c r="F107" s="58"/>
      <c r="G107" s="110"/>
    </row>
    <row r="108" spans="1:7" ht="12.75" customHeight="1" thickBot="1" x14ac:dyDescent="0.35">
      <c r="A108" s="56"/>
      <c r="B108" s="70"/>
      <c r="C108" s="58"/>
      <c r="D108" s="58"/>
      <c r="E108" s="58"/>
      <c r="F108" s="58"/>
      <c r="G108" s="110"/>
    </row>
    <row r="109" spans="1:7" ht="12" customHeight="1" x14ac:dyDescent="0.3">
      <c r="A109" s="56"/>
      <c r="B109" s="81" t="s">
        <v>40</v>
      </c>
      <c r="C109" s="82"/>
      <c r="D109" s="82"/>
      <c r="E109" s="82"/>
      <c r="F109" s="83"/>
      <c r="G109" s="110"/>
    </row>
    <row r="110" spans="1:7" ht="12" customHeight="1" x14ac:dyDescent="0.3">
      <c r="A110" s="56"/>
      <c r="B110" s="84" t="s">
        <v>41</v>
      </c>
      <c r="C110" s="55"/>
      <c r="D110" s="55"/>
      <c r="E110" s="55"/>
      <c r="F110" s="85"/>
      <c r="G110" s="110"/>
    </row>
    <row r="111" spans="1:7" ht="12" customHeight="1" x14ac:dyDescent="0.3">
      <c r="A111" s="56"/>
      <c r="B111" s="84" t="s">
        <v>42</v>
      </c>
      <c r="C111" s="55"/>
      <c r="D111" s="55"/>
      <c r="E111" s="55"/>
      <c r="F111" s="85"/>
      <c r="G111" s="110"/>
    </row>
    <row r="112" spans="1:7" ht="12" customHeight="1" x14ac:dyDescent="0.3">
      <c r="A112" s="56"/>
      <c r="B112" s="84" t="s">
        <v>43</v>
      </c>
      <c r="C112" s="55"/>
      <c r="D112" s="55"/>
      <c r="E112" s="55"/>
      <c r="F112" s="85"/>
      <c r="G112" s="110"/>
    </row>
    <row r="113" spans="1:7" ht="12" customHeight="1" x14ac:dyDescent="0.3">
      <c r="A113" s="56"/>
      <c r="B113" s="84" t="s">
        <v>44</v>
      </c>
      <c r="C113" s="55"/>
      <c r="D113" s="55"/>
      <c r="E113" s="55"/>
      <c r="F113" s="85"/>
      <c r="G113" s="110"/>
    </row>
    <row r="114" spans="1:7" ht="12" customHeight="1" x14ac:dyDescent="0.3">
      <c r="A114" s="56"/>
      <c r="B114" s="84" t="s">
        <v>45</v>
      </c>
      <c r="C114" s="55"/>
      <c r="D114" s="55"/>
      <c r="E114" s="55"/>
      <c r="F114" s="85"/>
      <c r="G114" s="110"/>
    </row>
    <row r="115" spans="1:7" ht="12.75" customHeight="1" thickBot="1" x14ac:dyDescent="0.35">
      <c r="A115" s="56"/>
      <c r="B115" s="86" t="s">
        <v>46</v>
      </c>
      <c r="C115" s="87"/>
      <c r="D115" s="87"/>
      <c r="E115" s="87"/>
      <c r="F115" s="88"/>
      <c r="G115" s="110"/>
    </row>
    <row r="116" spans="1:7" ht="12.75" customHeight="1" x14ac:dyDescent="0.3">
      <c r="A116" s="56"/>
      <c r="B116" s="79"/>
      <c r="C116" s="55"/>
      <c r="D116" s="55"/>
      <c r="E116" s="55"/>
      <c r="F116" s="55"/>
      <c r="G116" s="110"/>
    </row>
    <row r="117" spans="1:7" ht="15" customHeight="1" thickBot="1" x14ac:dyDescent="0.35">
      <c r="A117" s="56"/>
      <c r="B117" s="212" t="s">
        <v>47</v>
      </c>
      <c r="C117" s="213"/>
      <c r="D117" s="78"/>
      <c r="E117" s="51"/>
      <c r="F117" s="51"/>
      <c r="G117" s="110"/>
    </row>
    <row r="118" spans="1:7" ht="12" customHeight="1" x14ac:dyDescent="0.3">
      <c r="A118" s="56"/>
      <c r="B118" s="72" t="s">
        <v>32</v>
      </c>
      <c r="C118" s="132" t="s">
        <v>48</v>
      </c>
      <c r="D118" s="133" t="s">
        <v>49</v>
      </c>
      <c r="E118" s="51"/>
      <c r="F118" s="51"/>
      <c r="G118" s="110"/>
    </row>
    <row r="119" spans="1:7" ht="12" customHeight="1" x14ac:dyDescent="0.3">
      <c r="A119" s="56"/>
      <c r="B119" s="73" t="s">
        <v>50</v>
      </c>
      <c r="C119" s="52">
        <f>G39</f>
        <v>12822750</v>
      </c>
      <c r="D119" s="74">
        <f>(C119/C125)</f>
        <v>0.41884496476984312</v>
      </c>
      <c r="E119" s="51"/>
      <c r="F119" s="51"/>
      <c r="G119" s="110"/>
    </row>
    <row r="120" spans="1:7" ht="12" customHeight="1" x14ac:dyDescent="0.3">
      <c r="A120" s="56"/>
      <c r="B120" s="73" t="s">
        <v>51</v>
      </c>
      <c r="C120" s="52">
        <f>G44</f>
        <v>0</v>
      </c>
      <c r="D120" s="74">
        <v>0</v>
      </c>
      <c r="E120" s="51"/>
      <c r="F120" s="51"/>
      <c r="G120" s="110"/>
    </row>
    <row r="121" spans="1:7" ht="12" customHeight="1" x14ac:dyDescent="0.3">
      <c r="A121" s="56"/>
      <c r="B121" s="73" t="s">
        <v>52</v>
      </c>
      <c r="C121" s="52">
        <f>G49</f>
        <v>141680</v>
      </c>
      <c r="D121" s="74">
        <f>(C121/C125)</f>
        <v>4.627864897045593E-3</v>
      </c>
      <c r="E121" s="51"/>
      <c r="F121" s="51"/>
      <c r="G121" s="110"/>
    </row>
    <row r="122" spans="1:7" ht="12" customHeight="1" x14ac:dyDescent="0.3">
      <c r="A122" s="56"/>
      <c r="B122" s="73" t="s">
        <v>27</v>
      </c>
      <c r="C122" s="52">
        <f>G95</f>
        <v>15592284.021507876</v>
      </c>
      <c r="D122" s="74">
        <f>(C122/C125)</f>
        <v>0.50930959830534439</v>
      </c>
      <c r="E122" s="51"/>
      <c r="F122" s="51"/>
      <c r="G122" s="110"/>
    </row>
    <row r="123" spans="1:7" ht="12" customHeight="1" x14ac:dyDescent="0.3">
      <c r="A123" s="56"/>
      <c r="B123" s="73" t="s">
        <v>53</v>
      </c>
      <c r="C123" s="53">
        <f>G100</f>
        <v>600000</v>
      </c>
      <c r="D123" s="74">
        <f>(C123/C125)</f>
        <v>1.9598524408719339E-2</v>
      </c>
      <c r="E123" s="54"/>
      <c r="F123" s="54"/>
      <c r="G123" s="110"/>
    </row>
    <row r="124" spans="1:7" ht="12" customHeight="1" x14ac:dyDescent="0.3">
      <c r="A124" s="56"/>
      <c r="B124" s="73" t="s">
        <v>54</v>
      </c>
      <c r="C124" s="53">
        <f>G103</f>
        <v>1457835.7010753937</v>
      </c>
      <c r="D124" s="74">
        <f>(C124/C125)</f>
        <v>4.7619047619047616E-2</v>
      </c>
      <c r="E124" s="54"/>
      <c r="F124" s="54"/>
      <c r="G124" s="110"/>
    </row>
    <row r="125" spans="1:7" ht="12.75" customHeight="1" thickBot="1" x14ac:dyDescent="0.35">
      <c r="A125" s="56"/>
      <c r="B125" s="75" t="s">
        <v>55</v>
      </c>
      <c r="C125" s="76">
        <f>SUM(C119:C124)</f>
        <v>30614549.722583268</v>
      </c>
      <c r="D125" s="77">
        <f>SUM(D119:D124)</f>
        <v>1</v>
      </c>
      <c r="E125" s="54"/>
      <c r="F125" s="54"/>
      <c r="G125" s="110"/>
    </row>
    <row r="126" spans="1:7" ht="12" customHeight="1" x14ac:dyDescent="0.3">
      <c r="A126" s="56"/>
      <c r="B126" s="70"/>
      <c r="C126" s="58"/>
      <c r="D126" s="58"/>
      <c r="E126" s="58"/>
      <c r="F126" s="58"/>
      <c r="G126" s="110"/>
    </row>
    <row r="127" spans="1:7" ht="12.75" customHeight="1" thickBot="1" x14ac:dyDescent="0.35">
      <c r="A127" s="56"/>
      <c r="B127" s="71"/>
      <c r="C127" s="58"/>
      <c r="D127" s="58"/>
      <c r="E127" s="58"/>
      <c r="F127" s="58"/>
      <c r="G127" s="110"/>
    </row>
    <row r="128" spans="1:7" ht="12" customHeight="1" thickBot="1" x14ac:dyDescent="0.35">
      <c r="A128" s="56"/>
      <c r="B128" s="209" t="s">
        <v>110</v>
      </c>
      <c r="C128" s="210"/>
      <c r="D128" s="210"/>
      <c r="E128" s="211"/>
      <c r="F128" s="54"/>
      <c r="G128" s="110"/>
    </row>
    <row r="129" spans="1:7" ht="12" customHeight="1" x14ac:dyDescent="0.3">
      <c r="A129" s="56"/>
      <c r="B129" s="90" t="s">
        <v>156</v>
      </c>
      <c r="C129" s="124">
        <v>300000</v>
      </c>
      <c r="D129" s="124">
        <f>G9</f>
        <v>360000</v>
      </c>
      <c r="E129" s="124">
        <v>400000</v>
      </c>
      <c r="F129" s="89"/>
      <c r="G129" s="111"/>
    </row>
    <row r="130" spans="1:7" ht="12.75" customHeight="1" thickBot="1" x14ac:dyDescent="0.35">
      <c r="A130" s="56"/>
      <c r="B130" s="75" t="s">
        <v>157</v>
      </c>
      <c r="C130" s="191">
        <f>G104/C129</f>
        <v>102.04849907527756</v>
      </c>
      <c r="D130" s="76">
        <f>(G104/D129)</f>
        <v>85.04041589606463</v>
      </c>
      <c r="E130" s="91">
        <f>(G104/E129)</f>
        <v>76.536374306458171</v>
      </c>
      <c r="F130" s="89"/>
      <c r="G130" s="111"/>
    </row>
    <row r="131" spans="1:7" ht="15.6" customHeight="1" x14ac:dyDescent="0.3">
      <c r="A131" s="56"/>
      <c r="B131" s="80" t="s">
        <v>56</v>
      </c>
      <c r="C131" s="55"/>
      <c r="D131" s="55"/>
      <c r="E131" s="55"/>
      <c r="F131" s="55"/>
      <c r="G131" s="112"/>
    </row>
  </sheetData>
  <mergeCells count="9">
    <mergeCell ref="E9:F9"/>
    <mergeCell ref="E14:F14"/>
    <mergeCell ref="E15:F15"/>
    <mergeCell ref="B17:G17"/>
    <mergeCell ref="B128:E128"/>
    <mergeCell ref="B117:C117"/>
    <mergeCell ref="E13:F13"/>
    <mergeCell ref="E11:F11"/>
    <mergeCell ref="E10:F10"/>
  </mergeCells>
  <phoneticPr fontId="26" type="noConversion"/>
  <pageMargins left="0.25" right="0.25" top="0.14000000000000001" bottom="1.24" header="0.12" footer="1.22"/>
  <pageSetup paperSize="5" scale="99" fitToHeight="0" orientation="portrait" r:id="rId1"/>
  <headerFooter>
    <oddFooter>&amp;C&amp;"Helvetica Neue,Regular"&amp;12&amp;K000000&amp;P</oddFooter>
  </headerFooter>
  <rowBreaks count="2" manualBreakCount="2">
    <brk id="50" min="1" max="6" man="1"/>
    <brk id="94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31"/>
  <sheetViews>
    <sheetView tabSelected="1" zoomScale="110" zoomScaleNormal="110" workbookViewId="0">
      <selection activeCell="K37" sqref="K37"/>
    </sheetView>
  </sheetViews>
  <sheetFormatPr baseColWidth="10" defaultColWidth="10.88671875" defaultRowHeight="11.25" customHeight="1" x14ac:dyDescent="0.3"/>
  <cols>
    <col min="1" max="1" width="6.109375" style="1" customWidth="1"/>
    <col min="2" max="2" width="21.332031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13" customWidth="1"/>
    <col min="8" max="234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100"/>
    </row>
    <row r="2" spans="1:7" ht="15" customHeight="1" x14ac:dyDescent="0.3">
      <c r="A2" s="2"/>
      <c r="B2" s="2"/>
      <c r="C2" s="2"/>
      <c r="D2" s="2"/>
      <c r="E2" s="2"/>
      <c r="F2" s="2"/>
      <c r="G2" s="100"/>
    </row>
    <row r="3" spans="1:7" ht="15" customHeight="1" x14ac:dyDescent="0.3">
      <c r="A3" s="2"/>
      <c r="B3" s="2"/>
      <c r="C3" s="2"/>
      <c r="D3" s="2"/>
      <c r="E3" s="2"/>
      <c r="F3" s="2"/>
      <c r="G3" s="100"/>
    </row>
    <row r="4" spans="1:7" ht="15" customHeight="1" x14ac:dyDescent="0.3">
      <c r="A4" s="2"/>
      <c r="B4" s="2"/>
      <c r="C4" s="2"/>
      <c r="D4" s="2"/>
      <c r="E4" s="2"/>
      <c r="F4" s="2"/>
      <c r="G4" s="100"/>
    </row>
    <row r="5" spans="1:7" ht="15" customHeight="1" x14ac:dyDescent="0.3">
      <c r="A5" s="2"/>
      <c r="B5" s="2"/>
      <c r="C5" s="2"/>
      <c r="D5" s="2"/>
      <c r="E5" s="2"/>
      <c r="F5" s="2"/>
      <c r="G5" s="100"/>
    </row>
    <row r="6" spans="1:7" ht="15" customHeight="1" x14ac:dyDescent="0.3">
      <c r="A6" s="2"/>
      <c r="B6" s="2"/>
      <c r="C6" s="2"/>
      <c r="D6" s="2"/>
      <c r="E6" s="2"/>
      <c r="F6" s="2"/>
      <c r="G6" s="100"/>
    </row>
    <row r="7" spans="1:7" ht="15" customHeight="1" x14ac:dyDescent="0.3">
      <c r="A7" s="2"/>
      <c r="B7" s="2"/>
      <c r="C7" s="2"/>
      <c r="D7" s="2"/>
      <c r="E7" s="2"/>
      <c r="F7" s="2"/>
      <c r="G7" s="100"/>
    </row>
    <row r="8" spans="1:7" ht="15" customHeight="1" x14ac:dyDescent="0.3">
      <c r="A8" s="2"/>
      <c r="B8" s="3"/>
      <c r="C8" s="4"/>
      <c r="D8" s="2"/>
      <c r="E8" s="4"/>
      <c r="F8" s="4"/>
      <c r="G8" s="101"/>
    </row>
    <row r="9" spans="1:7" ht="12" customHeight="1" x14ac:dyDescent="0.3">
      <c r="A9" s="5"/>
      <c r="B9" s="6" t="s">
        <v>0</v>
      </c>
      <c r="C9" s="137" t="s">
        <v>144</v>
      </c>
      <c r="D9" s="7"/>
      <c r="E9" s="201" t="s">
        <v>154</v>
      </c>
      <c r="F9" s="202"/>
      <c r="G9" s="183">
        <v>360000</v>
      </c>
    </row>
    <row r="10" spans="1:7" ht="21.75" customHeight="1" x14ac:dyDescent="0.3">
      <c r="A10" s="5"/>
      <c r="B10" s="8" t="s">
        <v>1</v>
      </c>
      <c r="C10" s="195" t="s">
        <v>145</v>
      </c>
      <c r="D10" s="9"/>
      <c r="E10" s="203" t="s">
        <v>2</v>
      </c>
      <c r="F10" s="204"/>
      <c r="G10" s="153" t="s">
        <v>100</v>
      </c>
    </row>
    <row r="11" spans="1:7" ht="18" customHeight="1" x14ac:dyDescent="0.3">
      <c r="A11" s="5"/>
      <c r="B11" s="8" t="s">
        <v>3</v>
      </c>
      <c r="C11" s="150" t="s">
        <v>116</v>
      </c>
      <c r="D11" s="9"/>
      <c r="E11" s="203" t="s">
        <v>155</v>
      </c>
      <c r="F11" s="204"/>
      <c r="G11" s="196">
        <v>92</v>
      </c>
    </row>
    <row r="12" spans="1:7" ht="11.25" customHeight="1" x14ac:dyDescent="0.3">
      <c r="A12" s="5"/>
      <c r="B12" s="8" t="s">
        <v>4</v>
      </c>
      <c r="C12" s="138" t="s">
        <v>62</v>
      </c>
      <c r="D12" s="9"/>
      <c r="E12" s="199" t="s">
        <v>5</v>
      </c>
      <c r="F12" s="200"/>
      <c r="G12" s="197">
        <f>G11*G9</f>
        <v>33120000</v>
      </c>
    </row>
    <row r="13" spans="1:7" ht="11.25" customHeight="1" x14ac:dyDescent="0.3">
      <c r="A13" s="5"/>
      <c r="B13" s="8" t="s">
        <v>6</v>
      </c>
      <c r="C13" s="138" t="s">
        <v>112</v>
      </c>
      <c r="D13" s="9"/>
      <c r="E13" s="203" t="s">
        <v>7</v>
      </c>
      <c r="F13" s="204"/>
      <c r="G13" s="153" t="s">
        <v>101</v>
      </c>
    </row>
    <row r="14" spans="1:7" ht="13.5" customHeight="1" x14ac:dyDescent="0.3">
      <c r="A14" s="5"/>
      <c r="B14" s="8" t="s">
        <v>8</v>
      </c>
      <c r="C14" s="138" t="s">
        <v>61</v>
      </c>
      <c r="D14" s="9"/>
      <c r="E14" s="203" t="s">
        <v>9</v>
      </c>
      <c r="F14" s="204"/>
      <c r="G14" s="153" t="s">
        <v>100</v>
      </c>
    </row>
    <row r="15" spans="1:7" ht="16.5" customHeight="1" x14ac:dyDescent="0.3">
      <c r="A15" s="5"/>
      <c r="B15" s="8" t="s">
        <v>10</v>
      </c>
      <c r="C15" s="134">
        <v>44713</v>
      </c>
      <c r="D15" s="9"/>
      <c r="E15" s="205" t="s">
        <v>11</v>
      </c>
      <c r="F15" s="206"/>
      <c r="G15" s="154" t="s">
        <v>102</v>
      </c>
    </row>
    <row r="16" spans="1:7" ht="12" customHeight="1" x14ac:dyDescent="0.3">
      <c r="A16" s="2"/>
      <c r="B16" s="12"/>
      <c r="C16" s="13"/>
      <c r="D16" s="14"/>
      <c r="E16" s="15"/>
      <c r="F16" s="15"/>
      <c r="G16" s="102"/>
    </row>
    <row r="17" spans="1:7" ht="12" customHeight="1" x14ac:dyDescent="0.3">
      <c r="A17" s="16"/>
      <c r="B17" s="207" t="s">
        <v>12</v>
      </c>
      <c r="C17" s="208"/>
      <c r="D17" s="208"/>
      <c r="E17" s="208"/>
      <c r="F17" s="208"/>
      <c r="G17" s="208"/>
    </row>
    <row r="18" spans="1:7" ht="12" customHeight="1" x14ac:dyDescent="0.3">
      <c r="A18" s="2"/>
      <c r="B18" s="17"/>
      <c r="C18" s="18"/>
      <c r="D18" s="18"/>
      <c r="E18" s="18"/>
      <c r="F18" s="19"/>
      <c r="G18" s="103"/>
    </row>
    <row r="19" spans="1:7" ht="12" customHeight="1" x14ac:dyDescent="0.3">
      <c r="A19" s="5"/>
      <c r="B19" s="20" t="s">
        <v>13</v>
      </c>
      <c r="C19" s="21"/>
      <c r="D19" s="22"/>
      <c r="E19" s="22"/>
      <c r="F19" s="22"/>
      <c r="G19" s="104"/>
    </row>
    <row r="20" spans="1:7" ht="24" customHeight="1" x14ac:dyDescent="0.3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ht="27" customHeight="1" x14ac:dyDescent="0.3">
      <c r="A21" s="16"/>
      <c r="B21" s="139" t="s">
        <v>135</v>
      </c>
      <c r="C21" s="24"/>
      <c r="D21" s="93"/>
      <c r="E21" s="24"/>
      <c r="F21" s="125"/>
      <c r="G21" s="125"/>
    </row>
    <row r="22" spans="1:7" ht="25.5" customHeight="1" x14ac:dyDescent="0.3">
      <c r="A22" s="16"/>
      <c r="B22" s="174" t="s">
        <v>134</v>
      </c>
      <c r="C22" s="174" t="s">
        <v>20</v>
      </c>
      <c r="D22" s="175">
        <v>18</v>
      </c>
      <c r="E22" s="174" t="s">
        <v>63</v>
      </c>
      <c r="F22" s="176">
        <v>78000</v>
      </c>
      <c r="G22" s="176">
        <f>D22*F22/3</f>
        <v>468000</v>
      </c>
    </row>
    <row r="23" spans="1:7" ht="12.75" customHeight="1" x14ac:dyDescent="0.3">
      <c r="A23" s="16"/>
      <c r="B23" s="177" t="s">
        <v>141</v>
      </c>
      <c r="C23" s="178"/>
      <c r="D23" s="179"/>
      <c r="E23" s="178"/>
      <c r="F23" s="180"/>
      <c r="G23" s="180"/>
    </row>
    <row r="24" spans="1:7" ht="12.75" customHeight="1" x14ac:dyDescent="0.3">
      <c r="A24" s="16"/>
      <c r="B24" s="181" t="s">
        <v>65</v>
      </c>
      <c r="C24" s="178" t="s">
        <v>20</v>
      </c>
      <c r="D24" s="179">
        <v>12</v>
      </c>
      <c r="E24" s="178" t="s">
        <v>66</v>
      </c>
      <c r="F24" s="180">
        <v>26000</v>
      </c>
      <c r="G24" s="180">
        <f t="shared" ref="G24:G38" si="0">D24*F24</f>
        <v>312000</v>
      </c>
    </row>
    <row r="25" spans="1:7" ht="12.75" customHeight="1" x14ac:dyDescent="0.3">
      <c r="A25" s="16"/>
      <c r="B25" s="181" t="s">
        <v>67</v>
      </c>
      <c r="C25" s="193" t="s">
        <v>20</v>
      </c>
      <c r="D25" s="179">
        <v>3</v>
      </c>
      <c r="E25" s="178" t="s">
        <v>66</v>
      </c>
      <c r="F25" s="180">
        <v>26000</v>
      </c>
      <c r="G25" s="180">
        <f t="shared" si="0"/>
        <v>78000</v>
      </c>
    </row>
    <row r="26" spans="1:7" ht="12.75" customHeight="1" x14ac:dyDescent="0.3">
      <c r="A26" s="16"/>
      <c r="B26" s="181" t="s">
        <v>68</v>
      </c>
      <c r="C26" s="178" t="s">
        <v>20</v>
      </c>
      <c r="D26" s="179">
        <v>0.5</v>
      </c>
      <c r="E26" s="178" t="s">
        <v>66</v>
      </c>
      <c r="F26" s="180">
        <v>26000</v>
      </c>
      <c r="G26" s="180">
        <f t="shared" si="0"/>
        <v>13000</v>
      </c>
    </row>
    <row r="27" spans="1:7" ht="12.75" customHeight="1" x14ac:dyDescent="0.3">
      <c r="A27" s="16"/>
      <c r="B27" s="181" t="s">
        <v>69</v>
      </c>
      <c r="C27" s="178" t="s">
        <v>20</v>
      </c>
      <c r="D27" s="179">
        <v>11</v>
      </c>
      <c r="E27" s="178" t="s">
        <v>70</v>
      </c>
      <c r="F27" s="180">
        <v>26000</v>
      </c>
      <c r="G27" s="180">
        <f t="shared" si="0"/>
        <v>286000</v>
      </c>
    </row>
    <row r="28" spans="1:7" ht="12.75" customHeight="1" x14ac:dyDescent="0.3">
      <c r="A28" s="16"/>
      <c r="B28" s="181" t="s">
        <v>73</v>
      </c>
      <c r="C28" s="178" t="s">
        <v>20</v>
      </c>
      <c r="D28" s="182">
        <v>200</v>
      </c>
      <c r="E28" s="178" t="s">
        <v>72</v>
      </c>
      <c r="F28" s="180">
        <v>26000</v>
      </c>
      <c r="G28" s="180">
        <f t="shared" si="0"/>
        <v>5200000</v>
      </c>
    </row>
    <row r="29" spans="1:7" ht="12.75" customHeight="1" x14ac:dyDescent="0.3">
      <c r="A29" s="16"/>
      <c r="B29" s="181" t="s">
        <v>74</v>
      </c>
      <c r="C29" s="178" t="s">
        <v>20</v>
      </c>
      <c r="D29" s="179">
        <v>25</v>
      </c>
      <c r="E29" s="178" t="s">
        <v>75</v>
      </c>
      <c r="F29" s="180">
        <v>26000</v>
      </c>
      <c r="G29" s="180">
        <f t="shared" si="0"/>
        <v>650000</v>
      </c>
    </row>
    <row r="30" spans="1:7" ht="12.75" customHeight="1" x14ac:dyDescent="0.3">
      <c r="A30" s="16"/>
      <c r="B30" s="181" t="s">
        <v>76</v>
      </c>
      <c r="C30" s="178" t="s">
        <v>20</v>
      </c>
      <c r="D30" s="179">
        <v>40</v>
      </c>
      <c r="E30" s="178" t="s">
        <v>77</v>
      </c>
      <c r="F30" s="180">
        <v>26000</v>
      </c>
      <c r="G30" s="180">
        <f t="shared" si="0"/>
        <v>1040000</v>
      </c>
    </row>
    <row r="31" spans="1:7" ht="12.75" customHeight="1" x14ac:dyDescent="0.3">
      <c r="A31" s="16"/>
      <c r="B31" s="181" t="s">
        <v>78</v>
      </c>
      <c r="C31" s="178" t="s">
        <v>20</v>
      </c>
      <c r="D31" s="182">
        <v>8.75</v>
      </c>
      <c r="E31" s="178" t="s">
        <v>77</v>
      </c>
      <c r="F31" s="180">
        <v>26000</v>
      </c>
      <c r="G31" s="180">
        <f t="shared" si="0"/>
        <v>227500</v>
      </c>
    </row>
    <row r="32" spans="1:7" ht="12.75" customHeight="1" x14ac:dyDescent="0.3">
      <c r="A32" s="16"/>
      <c r="B32" s="181" t="s">
        <v>79</v>
      </c>
      <c r="C32" s="178" t="s">
        <v>20</v>
      </c>
      <c r="D32" s="179">
        <v>12</v>
      </c>
      <c r="E32" s="178" t="s">
        <v>77</v>
      </c>
      <c r="F32" s="180">
        <v>26000</v>
      </c>
      <c r="G32" s="180">
        <f t="shared" si="0"/>
        <v>312000</v>
      </c>
    </row>
    <row r="33" spans="1:7" ht="12.75" customHeight="1" x14ac:dyDescent="0.3">
      <c r="A33" s="16"/>
      <c r="B33" s="181" t="s">
        <v>80</v>
      </c>
      <c r="C33" s="178" t="s">
        <v>20</v>
      </c>
      <c r="D33" s="182">
        <v>24</v>
      </c>
      <c r="E33" s="178" t="s">
        <v>81</v>
      </c>
      <c r="F33" s="180">
        <v>26000</v>
      </c>
      <c r="G33" s="180">
        <f t="shared" si="0"/>
        <v>624000</v>
      </c>
    </row>
    <row r="34" spans="1:7" ht="12.75" customHeight="1" x14ac:dyDescent="0.3">
      <c r="A34" s="16"/>
      <c r="B34" s="181" t="s">
        <v>82</v>
      </c>
      <c r="C34" s="178" t="s">
        <v>20</v>
      </c>
      <c r="D34" s="179">
        <v>15</v>
      </c>
      <c r="E34" s="178" t="s">
        <v>81</v>
      </c>
      <c r="F34" s="180">
        <v>26000</v>
      </c>
      <c r="G34" s="180">
        <f t="shared" si="0"/>
        <v>390000</v>
      </c>
    </row>
    <row r="35" spans="1:7" ht="12.75" customHeight="1" x14ac:dyDescent="0.3">
      <c r="A35" s="16"/>
      <c r="B35" s="177" t="s">
        <v>117</v>
      </c>
      <c r="C35" s="178"/>
      <c r="D35" s="179"/>
      <c r="E35" s="178"/>
      <c r="F35" s="180">
        <v>26000</v>
      </c>
      <c r="G35" s="180"/>
    </row>
    <row r="36" spans="1:7" ht="12.75" customHeight="1" x14ac:dyDescent="0.3">
      <c r="A36" s="16"/>
      <c r="B36" s="181" t="s">
        <v>111</v>
      </c>
      <c r="C36" s="178" t="s">
        <v>20</v>
      </c>
      <c r="D36" s="179">
        <v>72</v>
      </c>
      <c r="E36" s="178" t="s">
        <v>153</v>
      </c>
      <c r="F36" s="180">
        <v>26000</v>
      </c>
      <c r="G36" s="180">
        <f t="shared" si="0"/>
        <v>1872000</v>
      </c>
    </row>
    <row r="37" spans="1:7" ht="27" customHeight="1" x14ac:dyDescent="0.3">
      <c r="A37" s="16"/>
      <c r="B37" s="177" t="s">
        <v>118</v>
      </c>
      <c r="C37" s="178"/>
      <c r="D37" s="179"/>
      <c r="E37" s="178"/>
      <c r="F37" s="180">
        <v>26000</v>
      </c>
      <c r="G37" s="180"/>
    </row>
    <row r="38" spans="1:7" ht="12.75" customHeight="1" x14ac:dyDescent="0.3">
      <c r="A38" s="16"/>
      <c r="B38" s="181" t="s">
        <v>140</v>
      </c>
      <c r="C38" s="178" t="s">
        <v>20</v>
      </c>
      <c r="D38" s="179">
        <v>35</v>
      </c>
      <c r="E38" s="178" t="s">
        <v>153</v>
      </c>
      <c r="F38" s="180">
        <v>26000</v>
      </c>
      <c r="G38" s="180">
        <f t="shared" si="0"/>
        <v>910000</v>
      </c>
    </row>
    <row r="39" spans="1:7" ht="12.75" customHeight="1" x14ac:dyDescent="0.3">
      <c r="A39" s="16"/>
      <c r="B39" s="25" t="s">
        <v>21</v>
      </c>
      <c r="C39" s="26"/>
      <c r="D39" s="26"/>
      <c r="E39" s="26"/>
      <c r="F39" s="27"/>
      <c r="G39" s="126">
        <f>SUM(G21:G38)</f>
        <v>12382500</v>
      </c>
    </row>
    <row r="40" spans="1:7" ht="12" customHeight="1" x14ac:dyDescent="0.3">
      <c r="A40" s="2"/>
      <c r="B40" s="17"/>
      <c r="C40" s="19"/>
      <c r="D40" s="19"/>
      <c r="E40" s="19"/>
      <c r="F40" s="28"/>
      <c r="G40" s="105"/>
    </row>
    <row r="41" spans="1:7" ht="12" customHeight="1" x14ac:dyDescent="0.3">
      <c r="A41" s="5"/>
      <c r="B41" s="29" t="s">
        <v>22</v>
      </c>
      <c r="C41" s="30"/>
      <c r="D41" s="31"/>
      <c r="E41" s="31"/>
      <c r="F41" s="32"/>
      <c r="G41" s="106"/>
    </row>
    <row r="42" spans="1:7" ht="24" customHeight="1" x14ac:dyDescent="0.3">
      <c r="A42" s="5"/>
      <c r="B42" s="33" t="s">
        <v>14</v>
      </c>
      <c r="C42" s="34" t="s">
        <v>15</v>
      </c>
      <c r="D42" s="34" t="s">
        <v>16</v>
      </c>
      <c r="E42" s="33" t="s">
        <v>57</v>
      </c>
      <c r="F42" s="34" t="s">
        <v>18</v>
      </c>
      <c r="G42" s="33" t="s">
        <v>19</v>
      </c>
    </row>
    <row r="43" spans="1:7" ht="12" customHeight="1" x14ac:dyDescent="0.3">
      <c r="A43" s="5"/>
      <c r="B43" s="35" t="s">
        <v>83</v>
      </c>
      <c r="C43" s="36" t="s">
        <v>83</v>
      </c>
      <c r="D43" s="36" t="s">
        <v>83</v>
      </c>
      <c r="E43" s="36" t="s">
        <v>83</v>
      </c>
      <c r="F43" s="92"/>
      <c r="G43" s="128"/>
    </row>
    <row r="44" spans="1:7" ht="12" customHeight="1" x14ac:dyDescent="0.3">
      <c r="A44" s="5"/>
      <c r="B44" s="37" t="s">
        <v>23</v>
      </c>
      <c r="C44" s="38"/>
      <c r="D44" s="38"/>
      <c r="E44" s="38"/>
      <c r="F44" s="39"/>
      <c r="G44" s="129"/>
    </row>
    <row r="45" spans="1:7" ht="12" customHeight="1" x14ac:dyDescent="0.3">
      <c r="A45" s="2"/>
      <c r="B45" s="40"/>
      <c r="C45" s="41"/>
      <c r="D45" s="41"/>
      <c r="E45" s="41"/>
      <c r="F45" s="42"/>
      <c r="G45" s="107"/>
    </row>
    <row r="46" spans="1:7" ht="12" customHeight="1" x14ac:dyDescent="0.3">
      <c r="A46" s="5"/>
      <c r="B46" s="29" t="s">
        <v>24</v>
      </c>
      <c r="C46" s="30"/>
      <c r="D46" s="31"/>
      <c r="E46" s="31"/>
      <c r="F46" s="32"/>
      <c r="G46" s="106"/>
    </row>
    <row r="47" spans="1:7" ht="24" customHeight="1" x14ac:dyDescent="0.3">
      <c r="A47" s="5"/>
      <c r="B47" s="43" t="s">
        <v>14</v>
      </c>
      <c r="C47" s="43" t="s">
        <v>15</v>
      </c>
      <c r="D47" s="43" t="s">
        <v>16</v>
      </c>
      <c r="E47" s="43" t="s">
        <v>17</v>
      </c>
      <c r="F47" s="44" t="s">
        <v>18</v>
      </c>
      <c r="G47" s="43" t="s">
        <v>19</v>
      </c>
    </row>
    <row r="48" spans="1:7" ht="30" customHeight="1" x14ac:dyDescent="0.3">
      <c r="A48" s="16"/>
      <c r="B48" s="185" t="s">
        <v>132</v>
      </c>
      <c r="C48" s="171" t="s">
        <v>158</v>
      </c>
      <c r="D48" s="172">
        <v>1.61</v>
      </c>
      <c r="E48" s="171" t="s">
        <v>70</v>
      </c>
      <c r="F48" s="173">
        <v>180000</v>
      </c>
      <c r="G48" s="173">
        <f>D48*F48/2</f>
        <v>144900</v>
      </c>
    </row>
    <row r="49" spans="1:234" ht="12.75" customHeight="1" x14ac:dyDescent="0.3">
      <c r="A49" s="5"/>
      <c r="B49" s="45" t="s">
        <v>25</v>
      </c>
      <c r="C49" s="46"/>
      <c r="D49" s="46"/>
      <c r="E49" s="46"/>
      <c r="F49" s="46"/>
      <c r="G49" s="127">
        <f>SUM(G48:G48)</f>
        <v>144900</v>
      </c>
    </row>
    <row r="50" spans="1:234" ht="12" customHeight="1" x14ac:dyDescent="0.3">
      <c r="A50" s="2"/>
      <c r="B50" s="40"/>
      <c r="C50" s="41"/>
      <c r="D50" s="41"/>
      <c r="E50" s="41"/>
      <c r="F50" s="42"/>
      <c r="G50" s="107"/>
    </row>
    <row r="51" spans="1:234" ht="12" customHeight="1" x14ac:dyDescent="0.3">
      <c r="A51" s="5"/>
      <c r="B51" s="29" t="s">
        <v>26</v>
      </c>
      <c r="C51" s="30"/>
      <c r="D51" s="31"/>
      <c r="E51" s="31"/>
      <c r="F51" s="32"/>
      <c r="G51" s="106"/>
    </row>
    <row r="52" spans="1:234" ht="24" customHeight="1" x14ac:dyDescent="0.3">
      <c r="A52" s="5"/>
      <c r="B52" s="95" t="s">
        <v>27</v>
      </c>
      <c r="C52" s="95" t="s">
        <v>28</v>
      </c>
      <c r="D52" s="95" t="s">
        <v>29</v>
      </c>
      <c r="E52" s="95" t="s">
        <v>17</v>
      </c>
      <c r="F52" s="95" t="s">
        <v>18</v>
      </c>
      <c r="G52" s="108" t="s">
        <v>19</v>
      </c>
    </row>
    <row r="53" spans="1:234" ht="12.75" customHeight="1" x14ac:dyDescent="0.3">
      <c r="A53" s="56"/>
      <c r="B53" s="135" t="s">
        <v>120</v>
      </c>
      <c r="C53" s="98"/>
      <c r="D53" s="97"/>
      <c r="E53" s="98"/>
      <c r="F53" s="98"/>
      <c r="G53" s="97"/>
    </row>
    <row r="54" spans="1:234" ht="24" customHeight="1" x14ac:dyDescent="0.3">
      <c r="A54" s="56"/>
      <c r="B54" s="155" t="s">
        <v>137</v>
      </c>
      <c r="C54" s="156" t="s">
        <v>60</v>
      </c>
      <c r="D54" s="157">
        <f>2850-500</f>
        <v>2350</v>
      </c>
      <c r="E54" s="156" t="s">
        <v>64</v>
      </c>
      <c r="F54" s="159">
        <f>'Pepino ensalada '!F54*'Al 22.06.22'!$I$54</f>
        <v>659.39499999999998</v>
      </c>
      <c r="G54" s="159">
        <f>D54*F54/3</f>
        <v>516526.08333333331</v>
      </c>
      <c r="I54" s="1">
        <v>1.0449999999999999</v>
      </c>
    </row>
    <row r="55" spans="1:234" ht="31.5" customHeight="1" x14ac:dyDescent="0.3">
      <c r="A55" s="56"/>
      <c r="B55" s="160" t="s">
        <v>142</v>
      </c>
      <c r="C55" s="156" t="s">
        <v>85</v>
      </c>
      <c r="D55" s="157">
        <v>500</v>
      </c>
      <c r="E55" s="156" t="s">
        <v>64</v>
      </c>
      <c r="F55" s="159">
        <f>'Pepino ensalada '!F55*'Al 22.06.22'!$I$54</f>
        <v>3668.4724999999999</v>
      </c>
      <c r="G55" s="159">
        <f>D55*F55/2</f>
        <v>917118.125</v>
      </c>
    </row>
    <row r="56" spans="1:234" ht="26.25" customHeight="1" x14ac:dyDescent="0.3">
      <c r="A56" s="56"/>
      <c r="B56" s="160" t="s">
        <v>138</v>
      </c>
      <c r="C56" s="156" t="s">
        <v>60</v>
      </c>
      <c r="D56" s="157">
        <v>330</v>
      </c>
      <c r="E56" s="156" t="s">
        <v>64</v>
      </c>
      <c r="F56" s="159">
        <f>'Pepino ensalada '!F56*'Al 22.06.22'!$I$54</f>
        <v>4601.1349999999993</v>
      </c>
      <c r="G56" s="159">
        <f>D56*F56/3</f>
        <v>506124.84999999992</v>
      </c>
    </row>
    <row r="57" spans="1:234" ht="24.75" customHeight="1" x14ac:dyDescent="0.3">
      <c r="A57" s="56"/>
      <c r="B57" s="160" t="s">
        <v>139</v>
      </c>
      <c r="C57" s="156" t="s">
        <v>60</v>
      </c>
      <c r="D57" s="157">
        <v>230</v>
      </c>
      <c r="E57" s="156" t="s">
        <v>64</v>
      </c>
      <c r="F57" s="159">
        <f>'Pepino ensalada '!F57*'Al 22.06.22'!$I$54</f>
        <v>4601.1349999999993</v>
      </c>
      <c r="G57" s="159">
        <f>D57*F57/3</f>
        <v>352753.68333333329</v>
      </c>
    </row>
    <row r="58" spans="1:234" ht="26.25" customHeight="1" x14ac:dyDescent="0.3">
      <c r="A58" s="56"/>
      <c r="B58" s="160" t="s">
        <v>124</v>
      </c>
      <c r="C58" s="156" t="s">
        <v>60</v>
      </c>
      <c r="D58" s="157">
        <v>215</v>
      </c>
      <c r="E58" s="156" t="s">
        <v>64</v>
      </c>
      <c r="F58" s="159">
        <f>'Pepino ensalada '!F58*'Al 22.06.22'!$I$54</f>
        <v>4601.1349999999993</v>
      </c>
      <c r="G58" s="159">
        <f>D58*F58/3</f>
        <v>329748.0083333333</v>
      </c>
    </row>
    <row r="59" spans="1:234" ht="30" customHeight="1" x14ac:dyDescent="0.3">
      <c r="A59" s="56"/>
      <c r="B59" s="160" t="s">
        <v>125</v>
      </c>
      <c r="C59" s="156" t="s">
        <v>60</v>
      </c>
      <c r="D59" s="157">
        <v>80</v>
      </c>
      <c r="E59" s="156" t="s">
        <v>64</v>
      </c>
      <c r="F59" s="159">
        <f>'Pepino ensalada '!F59*'Al 22.06.22'!$I$54</f>
        <v>3668.4724999999999</v>
      </c>
      <c r="G59" s="159">
        <f>D59*F59/2</f>
        <v>146738.9</v>
      </c>
    </row>
    <row r="60" spans="1:234" ht="28.5" customHeight="1" x14ac:dyDescent="0.3">
      <c r="A60" s="56"/>
      <c r="B60" s="143" t="s">
        <v>127</v>
      </c>
      <c r="C60" s="145" t="s">
        <v>126</v>
      </c>
      <c r="D60" s="140">
        <v>4</v>
      </c>
      <c r="E60" s="156" t="s">
        <v>64</v>
      </c>
      <c r="F60" s="159">
        <f>'Pepino ensalada '!F60*'Al 22.06.22'!$I$54</f>
        <v>55213.619999999995</v>
      </c>
      <c r="G60" s="142">
        <f>D60*F60/8</f>
        <v>27606.809999999998</v>
      </c>
    </row>
    <row r="61" spans="1:234" ht="43.5" customHeight="1" x14ac:dyDescent="0.3">
      <c r="A61" s="56"/>
      <c r="B61" s="160" t="s">
        <v>143</v>
      </c>
      <c r="C61" s="156" t="s">
        <v>60</v>
      </c>
      <c r="D61" s="157">
        <v>150</v>
      </c>
      <c r="E61" s="156" t="s">
        <v>64</v>
      </c>
      <c r="F61" s="159">
        <f>'Pepino ensalada '!F61*'Al 22.06.22'!$I$54</f>
        <v>3668.4724999999999</v>
      </c>
      <c r="G61" s="159">
        <f>D61*F61/2</f>
        <v>275135.4375</v>
      </c>
    </row>
    <row r="62" spans="1:234" s="148" customFormat="1" ht="12.75" customHeight="1" x14ac:dyDescent="0.3">
      <c r="A62" s="146"/>
      <c r="B62" s="149" t="s">
        <v>128</v>
      </c>
      <c r="C62" s="165"/>
      <c r="D62" s="166"/>
      <c r="E62" s="165"/>
      <c r="F62" s="159">
        <f>'Pepino ensalada '!F62*'Al 22.06.22'!$I$54</f>
        <v>0</v>
      </c>
      <c r="G62" s="16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47"/>
      <c r="DP62" s="147"/>
      <c r="DQ62" s="147"/>
      <c r="DR62" s="147"/>
      <c r="DS62" s="147"/>
      <c r="DT62" s="147"/>
      <c r="DU62" s="147"/>
      <c r="DV62" s="147"/>
      <c r="DW62" s="147"/>
      <c r="DX62" s="147"/>
      <c r="DY62" s="147"/>
      <c r="DZ62" s="147"/>
      <c r="EA62" s="147"/>
      <c r="EB62" s="147"/>
      <c r="EC62" s="147"/>
      <c r="ED62" s="147"/>
      <c r="EE62" s="147"/>
      <c r="EF62" s="147"/>
      <c r="EG62" s="147"/>
      <c r="EH62" s="147"/>
      <c r="EI62" s="147"/>
      <c r="EJ62" s="147"/>
      <c r="EK62" s="147"/>
      <c r="EL62" s="147"/>
      <c r="EM62" s="147"/>
      <c r="EN62" s="147"/>
      <c r="EO62" s="147"/>
      <c r="EP62" s="147"/>
      <c r="EQ62" s="147"/>
      <c r="ER62" s="147"/>
      <c r="ES62" s="147"/>
      <c r="ET62" s="147"/>
      <c r="EU62" s="147"/>
      <c r="EV62" s="147"/>
      <c r="EW62" s="147"/>
      <c r="EX62" s="147"/>
      <c r="EY62" s="147"/>
      <c r="EZ62" s="147"/>
      <c r="FA62" s="147"/>
      <c r="FB62" s="147"/>
      <c r="FC62" s="147"/>
      <c r="FD62" s="147"/>
      <c r="FE62" s="147"/>
      <c r="FF62" s="147"/>
      <c r="FG62" s="147"/>
      <c r="FH62" s="147"/>
      <c r="FI62" s="147"/>
      <c r="FJ62" s="147"/>
      <c r="FK62" s="147"/>
      <c r="FL62" s="147"/>
      <c r="FM62" s="147"/>
      <c r="FN62" s="147"/>
      <c r="FO62" s="147"/>
      <c r="FP62" s="147"/>
      <c r="FQ62" s="147"/>
      <c r="FR62" s="147"/>
      <c r="FS62" s="147"/>
      <c r="FT62" s="147"/>
      <c r="FU62" s="147"/>
      <c r="FV62" s="147"/>
      <c r="FW62" s="147"/>
      <c r="FX62" s="147"/>
      <c r="FY62" s="147"/>
      <c r="FZ62" s="147"/>
      <c r="GA62" s="147"/>
      <c r="GB62" s="147"/>
      <c r="GC62" s="147"/>
      <c r="GD62" s="147"/>
      <c r="GE62" s="147"/>
      <c r="GF62" s="147"/>
      <c r="GG62" s="147"/>
      <c r="GH62" s="147"/>
      <c r="GI62" s="147"/>
      <c r="GJ62" s="147"/>
      <c r="GK62" s="147"/>
      <c r="GL62" s="147"/>
      <c r="GM62" s="147"/>
      <c r="GN62" s="147"/>
      <c r="GO62" s="147"/>
      <c r="GP62" s="147"/>
      <c r="GQ62" s="147"/>
      <c r="GR62" s="147"/>
      <c r="GS62" s="147"/>
      <c r="GT62" s="147"/>
      <c r="GU62" s="147"/>
      <c r="GV62" s="147"/>
      <c r="GW62" s="147"/>
      <c r="GX62" s="147"/>
      <c r="GY62" s="147"/>
      <c r="GZ62" s="147"/>
      <c r="HA62" s="147"/>
      <c r="HB62" s="147"/>
      <c r="HC62" s="147"/>
      <c r="HD62" s="147"/>
      <c r="HE62" s="147"/>
      <c r="HF62" s="147"/>
      <c r="HG62" s="147"/>
      <c r="HH62" s="147"/>
      <c r="HI62" s="147"/>
      <c r="HJ62" s="147"/>
      <c r="HK62" s="147"/>
      <c r="HL62" s="147"/>
      <c r="HM62" s="147"/>
      <c r="HN62" s="147"/>
      <c r="HO62" s="147"/>
      <c r="HP62" s="147"/>
      <c r="HQ62" s="147"/>
      <c r="HR62" s="147"/>
      <c r="HS62" s="147"/>
      <c r="HT62" s="147"/>
      <c r="HU62" s="147"/>
      <c r="HV62" s="147"/>
      <c r="HW62" s="147"/>
      <c r="HX62" s="147"/>
      <c r="HY62" s="147"/>
      <c r="HZ62" s="147"/>
    </row>
    <row r="63" spans="1:234" ht="24.75" customHeight="1" x14ac:dyDescent="0.3">
      <c r="A63" s="56"/>
      <c r="B63" s="163" t="s">
        <v>136</v>
      </c>
      <c r="C63" s="156" t="s">
        <v>84</v>
      </c>
      <c r="D63" s="157">
        <v>11520</v>
      </c>
      <c r="E63" s="156" t="s">
        <v>71</v>
      </c>
      <c r="F63" s="159">
        <f>'Pepino ensalada '!F63*'Al 22.06.22'!$I$54</f>
        <v>52.229099999999995</v>
      </c>
      <c r="G63" s="159">
        <f>D63*F63/2</f>
        <v>300839.61599999998</v>
      </c>
    </row>
    <row r="64" spans="1:234" ht="12.75" customHeight="1" x14ac:dyDescent="0.3">
      <c r="A64" s="56"/>
      <c r="B64" s="160" t="s">
        <v>86</v>
      </c>
      <c r="C64" s="158" t="s">
        <v>60</v>
      </c>
      <c r="D64" s="184">
        <v>40.510127531882972</v>
      </c>
      <c r="E64" s="158" t="s">
        <v>108</v>
      </c>
      <c r="F64" s="159">
        <f>'Pepino ensalada '!F64*'Al 22.06.22'!$I$54</f>
        <v>5225.3971000000001</v>
      </c>
      <c r="G64" s="162">
        <f t="shared" ref="G64" si="1">D64*F64</f>
        <v>211681.50292573145</v>
      </c>
    </row>
    <row r="65" spans="1:7" ht="27" customHeight="1" x14ac:dyDescent="0.3">
      <c r="A65" s="56"/>
      <c r="B65" s="160" t="s">
        <v>130</v>
      </c>
      <c r="C65" s="158" t="s">
        <v>129</v>
      </c>
      <c r="D65" s="184">
        <v>1</v>
      </c>
      <c r="E65" s="158" t="s">
        <v>131</v>
      </c>
      <c r="F65" s="159">
        <f>'Pepino ensalada '!F65*'Al 22.06.22'!$I$54</f>
        <v>10450000</v>
      </c>
      <c r="G65" s="162">
        <f>D65*F65/8</f>
        <v>1306250</v>
      </c>
    </row>
    <row r="66" spans="1:7" ht="12.75" customHeight="1" x14ac:dyDescent="0.3">
      <c r="A66" s="56"/>
      <c r="B66" s="135" t="s">
        <v>146</v>
      </c>
      <c r="C66" s="94"/>
      <c r="D66" s="96"/>
      <c r="E66" s="94"/>
      <c r="F66" s="159">
        <f>'Pepino ensalada '!F66*'Al 22.06.22'!$I$54</f>
        <v>0</v>
      </c>
      <c r="G66" s="97"/>
    </row>
    <row r="67" spans="1:7" ht="12.75" customHeight="1" x14ac:dyDescent="0.3">
      <c r="A67" s="56"/>
      <c r="B67" s="163" t="s">
        <v>147</v>
      </c>
      <c r="C67" s="158" t="s">
        <v>59</v>
      </c>
      <c r="D67" s="161">
        <v>32000</v>
      </c>
      <c r="E67" s="158" t="s">
        <v>70</v>
      </c>
      <c r="F67" s="159">
        <f>'Pepino ensalada '!F67*'Al 22.06.22'!$I$54</f>
        <v>261.25</v>
      </c>
      <c r="G67" s="162">
        <f>D67*F67</f>
        <v>8360000</v>
      </c>
    </row>
    <row r="68" spans="1:7" ht="12.75" customHeight="1" x14ac:dyDescent="0.3">
      <c r="A68" s="56"/>
      <c r="C68" s="94"/>
      <c r="D68" s="96"/>
      <c r="E68" s="94"/>
      <c r="F68" s="159">
        <f>'Pepino ensalada '!F68*'Al 22.06.22'!$I$54</f>
        <v>0</v>
      </c>
      <c r="G68" s="97"/>
    </row>
    <row r="69" spans="1:7" ht="12.75" customHeight="1" x14ac:dyDescent="0.3">
      <c r="A69" s="56"/>
      <c r="B69" s="136" t="s">
        <v>58</v>
      </c>
      <c r="C69" s="94"/>
      <c r="D69" s="96"/>
      <c r="E69" s="94"/>
      <c r="F69" s="159">
        <f>'Pepino ensalada '!F69*'Al 22.06.22'!$I$54</f>
        <v>0</v>
      </c>
      <c r="G69" s="97"/>
    </row>
    <row r="70" spans="1:7" ht="12.75" customHeight="1" x14ac:dyDescent="0.3">
      <c r="A70" s="56"/>
      <c r="B70" s="164" t="s">
        <v>87</v>
      </c>
      <c r="C70" s="158" t="s">
        <v>88</v>
      </c>
      <c r="D70" s="161">
        <v>15</v>
      </c>
      <c r="E70" s="158" t="s">
        <v>70</v>
      </c>
      <c r="F70" s="159">
        <f>'Pepino ensalada '!F70*'Al 22.06.22'!$I$54</f>
        <v>8360</v>
      </c>
      <c r="G70" s="162">
        <f t="shared" ref="G70:G92" si="2">D70*F70</f>
        <v>125400</v>
      </c>
    </row>
    <row r="71" spans="1:7" ht="12.75" customHeight="1" x14ac:dyDescent="0.3">
      <c r="A71" s="56"/>
      <c r="B71" s="164" t="s">
        <v>89</v>
      </c>
      <c r="C71" s="158" t="s">
        <v>85</v>
      </c>
      <c r="D71" s="161">
        <v>200</v>
      </c>
      <c r="E71" s="158" t="s">
        <v>70</v>
      </c>
      <c r="F71" s="159">
        <f>'Pepino ensalada '!F71*'Al 22.06.22'!$I$54</f>
        <v>1115.46435</v>
      </c>
      <c r="G71" s="162">
        <f t="shared" si="2"/>
        <v>223092.87</v>
      </c>
    </row>
    <row r="72" spans="1:7" ht="12.75" customHeight="1" x14ac:dyDescent="0.3">
      <c r="A72" s="56"/>
      <c r="B72" s="164" t="s">
        <v>90</v>
      </c>
      <c r="C72" s="158" t="s">
        <v>91</v>
      </c>
      <c r="D72" s="161">
        <v>600</v>
      </c>
      <c r="E72" s="158" t="s">
        <v>77</v>
      </c>
      <c r="F72" s="159">
        <f>'Pepino ensalada '!F72*'Al 22.06.22'!$I$54</f>
        <v>1859.1072499999998</v>
      </c>
      <c r="G72" s="162">
        <f t="shared" si="2"/>
        <v>1115464.3499999999</v>
      </c>
    </row>
    <row r="73" spans="1:7" ht="12.75" customHeight="1" x14ac:dyDescent="0.3">
      <c r="A73" s="56"/>
      <c r="B73" s="164" t="s">
        <v>92</v>
      </c>
      <c r="C73" s="158" t="s">
        <v>85</v>
      </c>
      <c r="D73" s="161">
        <v>300</v>
      </c>
      <c r="E73" s="158" t="s">
        <v>77</v>
      </c>
      <c r="F73" s="159">
        <f>'Pepino ensalada '!F73*'Al 22.06.22'!$I$54</f>
        <v>828.20429999999988</v>
      </c>
      <c r="G73" s="162">
        <f t="shared" si="2"/>
        <v>248461.28999999995</v>
      </c>
    </row>
    <row r="74" spans="1:7" ht="12.75" customHeight="1" x14ac:dyDescent="0.3">
      <c r="A74" s="56"/>
      <c r="B74" s="164" t="s">
        <v>93</v>
      </c>
      <c r="C74" s="158" t="s">
        <v>85</v>
      </c>
      <c r="D74" s="161">
        <v>100</v>
      </c>
      <c r="E74" s="158" t="s">
        <v>77</v>
      </c>
      <c r="F74" s="159">
        <f>'Pepino ensalada '!F74*'Al 22.06.22'!$I$54</f>
        <v>743.64289999999994</v>
      </c>
      <c r="G74" s="162">
        <f t="shared" si="2"/>
        <v>74364.289999999994</v>
      </c>
    </row>
    <row r="75" spans="1:7" ht="12.75" customHeight="1" x14ac:dyDescent="0.3">
      <c r="A75" s="56"/>
      <c r="B75" s="164" t="s">
        <v>94</v>
      </c>
      <c r="C75" s="158" t="s">
        <v>85</v>
      </c>
      <c r="D75" s="161">
        <v>100</v>
      </c>
      <c r="E75" s="158" t="s">
        <v>77</v>
      </c>
      <c r="F75" s="159">
        <f>'Pepino ensalada '!F75*'Al 22.06.22'!$I$54</f>
        <v>2002.1154999999997</v>
      </c>
      <c r="G75" s="162">
        <f t="shared" si="2"/>
        <v>200211.54999999996</v>
      </c>
    </row>
    <row r="76" spans="1:7" ht="12.75" customHeight="1" x14ac:dyDescent="0.3">
      <c r="A76" s="56"/>
      <c r="B76" s="164" t="s">
        <v>95</v>
      </c>
      <c r="C76" s="158" t="s">
        <v>85</v>
      </c>
      <c r="D76" s="161">
        <v>25</v>
      </c>
      <c r="E76" s="158" t="s">
        <v>77</v>
      </c>
      <c r="F76" s="159">
        <f>'Pepino ensalada '!F76*'Al 22.06.22'!$I$54</f>
        <v>445.19089999999994</v>
      </c>
      <c r="G76" s="162">
        <f t="shared" si="2"/>
        <v>11129.772499999999</v>
      </c>
    </row>
    <row r="77" spans="1:7" ht="12.75" customHeight="1" x14ac:dyDescent="0.3">
      <c r="A77" s="56"/>
      <c r="B77" s="164" t="s">
        <v>96</v>
      </c>
      <c r="C77" s="158" t="s">
        <v>85</v>
      </c>
      <c r="D77" s="161">
        <v>25</v>
      </c>
      <c r="E77" s="158" t="s">
        <v>97</v>
      </c>
      <c r="F77" s="159">
        <f>'Pepino ensalada '!F77*'Al 22.06.22'!$I$54</f>
        <v>3345.1494999999995</v>
      </c>
      <c r="G77" s="162">
        <f t="shared" si="2"/>
        <v>83628.737499999988</v>
      </c>
    </row>
    <row r="78" spans="1:7" ht="12.75" customHeight="1" x14ac:dyDescent="0.3">
      <c r="A78" s="56"/>
      <c r="B78" s="135" t="s">
        <v>119</v>
      </c>
      <c r="C78" s="94"/>
      <c r="D78" s="96"/>
      <c r="E78" s="94"/>
      <c r="F78" s="159">
        <f>'Pepino ensalada '!F78*'Al 22.06.22'!$I$54</f>
        <v>0</v>
      </c>
      <c r="G78" s="97"/>
    </row>
    <row r="79" spans="1:7" ht="12.75" customHeight="1" x14ac:dyDescent="0.3">
      <c r="A79" s="56"/>
      <c r="B79" s="194" t="s">
        <v>103</v>
      </c>
      <c r="C79" s="94"/>
      <c r="D79" s="96"/>
      <c r="E79" s="94"/>
      <c r="F79" s="159">
        <f>'Pepino ensalada '!F79*'Al 22.06.22'!$I$54</f>
        <v>0</v>
      </c>
      <c r="G79" s="97"/>
    </row>
    <row r="80" spans="1:7" ht="12.75" customHeight="1" x14ac:dyDescent="0.3">
      <c r="A80" s="56"/>
      <c r="B80" s="198" t="s">
        <v>148</v>
      </c>
      <c r="C80" s="94" t="s">
        <v>133</v>
      </c>
      <c r="D80" s="96">
        <v>2</v>
      </c>
      <c r="E80" s="94" t="s">
        <v>77</v>
      </c>
      <c r="F80" s="159">
        <f>'Pepino ensalada '!F80*'Al 22.06.22'!$I$54</f>
        <v>28909.924999999999</v>
      </c>
      <c r="G80" s="97">
        <f>D80*F80</f>
        <v>57819.85</v>
      </c>
    </row>
    <row r="81" spans="1:234" ht="12.75" customHeight="1" x14ac:dyDescent="0.3">
      <c r="A81" s="56"/>
      <c r="B81" s="186" t="s">
        <v>121</v>
      </c>
      <c r="C81" s="187" t="s">
        <v>133</v>
      </c>
      <c r="D81" s="188">
        <v>1</v>
      </c>
      <c r="E81" s="187" t="s">
        <v>77</v>
      </c>
      <c r="F81" s="159">
        <f>'Pepino ensalada '!F81*'Al 22.06.22'!$I$54</f>
        <v>5747.5</v>
      </c>
      <c r="G81" s="189">
        <f>D81*F81</f>
        <v>5747.5</v>
      </c>
    </row>
    <row r="82" spans="1:234" s="148" customFormat="1" ht="12.75" hidden="1" customHeight="1" x14ac:dyDescent="0.3">
      <c r="A82" s="146"/>
      <c r="B82" s="186"/>
      <c r="C82" s="187"/>
      <c r="D82" s="188"/>
      <c r="E82" s="187"/>
      <c r="F82" s="159">
        <f>'Pepino ensalada '!F82*'Al 22.06.22'!$I$54</f>
        <v>0</v>
      </c>
      <c r="G82" s="189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7"/>
      <c r="BM82" s="147"/>
      <c r="BN82" s="147"/>
      <c r="BO82" s="147"/>
      <c r="BP82" s="147"/>
      <c r="BQ82" s="147"/>
      <c r="BR82" s="147"/>
      <c r="BS82" s="147"/>
      <c r="BT82" s="147"/>
      <c r="BU82" s="147"/>
      <c r="BV82" s="147"/>
      <c r="BW82" s="147"/>
      <c r="BX82" s="147"/>
      <c r="BY82" s="147"/>
      <c r="BZ82" s="147"/>
      <c r="CA82" s="147"/>
      <c r="CB82" s="147"/>
      <c r="CC82" s="147"/>
      <c r="CD82" s="147"/>
      <c r="CE82" s="147"/>
      <c r="CF82" s="147"/>
      <c r="CG82" s="147"/>
      <c r="CH82" s="147"/>
      <c r="CI82" s="147"/>
      <c r="CJ82" s="147"/>
      <c r="CK82" s="147"/>
      <c r="CL82" s="147"/>
      <c r="CM82" s="147"/>
      <c r="CN82" s="147"/>
      <c r="CO82" s="147"/>
      <c r="CP82" s="147"/>
      <c r="CQ82" s="147"/>
      <c r="CR82" s="147"/>
      <c r="CS82" s="147"/>
      <c r="CT82" s="147"/>
      <c r="CU82" s="147"/>
      <c r="CV82" s="147"/>
      <c r="CW82" s="147"/>
      <c r="CX82" s="147"/>
      <c r="CY82" s="147"/>
      <c r="CZ82" s="147"/>
      <c r="DA82" s="147"/>
      <c r="DB82" s="147"/>
      <c r="DC82" s="147"/>
      <c r="DD82" s="147"/>
      <c r="DE82" s="147"/>
      <c r="DF82" s="147"/>
      <c r="DG82" s="147"/>
      <c r="DH82" s="147"/>
      <c r="DI82" s="147"/>
      <c r="DJ82" s="147"/>
      <c r="DK82" s="147"/>
      <c r="DL82" s="147"/>
      <c r="DM82" s="147"/>
      <c r="DN82" s="147"/>
      <c r="DO82" s="147"/>
      <c r="DP82" s="147"/>
      <c r="DQ82" s="147"/>
      <c r="DR82" s="147"/>
      <c r="DS82" s="147"/>
      <c r="DT82" s="147"/>
      <c r="DU82" s="147"/>
      <c r="DV82" s="147"/>
      <c r="DW82" s="147"/>
      <c r="DX82" s="147"/>
      <c r="DY82" s="147"/>
      <c r="DZ82" s="147"/>
      <c r="EA82" s="147"/>
      <c r="EB82" s="147"/>
      <c r="EC82" s="147"/>
      <c r="ED82" s="147"/>
      <c r="EE82" s="147"/>
      <c r="EF82" s="147"/>
      <c r="EG82" s="147"/>
      <c r="EH82" s="147"/>
      <c r="EI82" s="147"/>
      <c r="EJ82" s="147"/>
      <c r="EK82" s="147"/>
      <c r="EL82" s="147"/>
      <c r="EM82" s="147"/>
      <c r="EN82" s="147"/>
      <c r="EO82" s="147"/>
      <c r="EP82" s="147"/>
      <c r="EQ82" s="147"/>
      <c r="ER82" s="147"/>
      <c r="ES82" s="147"/>
      <c r="ET82" s="147"/>
      <c r="EU82" s="147"/>
      <c r="EV82" s="147"/>
      <c r="EW82" s="147"/>
      <c r="EX82" s="147"/>
      <c r="EY82" s="147"/>
      <c r="EZ82" s="147"/>
      <c r="FA82" s="147"/>
      <c r="FB82" s="147"/>
      <c r="FC82" s="147"/>
      <c r="FD82" s="147"/>
      <c r="FE82" s="147"/>
      <c r="FF82" s="147"/>
      <c r="FG82" s="147"/>
      <c r="FH82" s="147"/>
      <c r="FI82" s="147"/>
      <c r="FJ82" s="147"/>
      <c r="FK82" s="147"/>
      <c r="FL82" s="147"/>
      <c r="FM82" s="147"/>
      <c r="FN82" s="147"/>
      <c r="FO82" s="147"/>
      <c r="FP82" s="147"/>
      <c r="FQ82" s="147"/>
      <c r="FR82" s="147"/>
      <c r="FS82" s="147"/>
      <c r="FT82" s="147"/>
      <c r="FU82" s="147"/>
      <c r="FV82" s="147"/>
      <c r="FW82" s="147"/>
      <c r="FX82" s="147"/>
      <c r="FY82" s="147"/>
      <c r="FZ82" s="147"/>
      <c r="GA82" s="147"/>
      <c r="GB82" s="147"/>
      <c r="GC82" s="147"/>
      <c r="GD82" s="147"/>
      <c r="GE82" s="147"/>
      <c r="GF82" s="147"/>
      <c r="GG82" s="147"/>
      <c r="GH82" s="147"/>
      <c r="GI82" s="147"/>
      <c r="GJ82" s="147"/>
      <c r="GK82" s="147"/>
      <c r="GL82" s="147"/>
      <c r="GM82" s="147"/>
      <c r="GN82" s="147"/>
      <c r="GO82" s="147"/>
      <c r="GP82" s="147"/>
      <c r="GQ82" s="147"/>
      <c r="GR82" s="147"/>
      <c r="GS82" s="147"/>
      <c r="GT82" s="147"/>
      <c r="GU82" s="147"/>
      <c r="GV82" s="147"/>
      <c r="GW82" s="147"/>
      <c r="GX82" s="147"/>
      <c r="GY82" s="147"/>
      <c r="GZ82" s="147"/>
      <c r="HA82" s="147"/>
      <c r="HB82" s="147"/>
      <c r="HC82" s="147"/>
      <c r="HD82" s="147"/>
      <c r="HE82" s="147"/>
      <c r="HF82" s="147"/>
      <c r="HG82" s="147"/>
      <c r="HH82" s="147"/>
      <c r="HI82" s="147"/>
      <c r="HJ82" s="147"/>
      <c r="HK82" s="147"/>
      <c r="HL82" s="147"/>
      <c r="HM82" s="147"/>
      <c r="HN82" s="147"/>
      <c r="HO82" s="147"/>
      <c r="HP82" s="147"/>
      <c r="HQ82" s="147"/>
      <c r="HR82" s="147"/>
      <c r="HS82" s="147"/>
      <c r="HT82" s="147"/>
      <c r="HU82" s="147"/>
      <c r="HV82" s="147"/>
      <c r="HW82" s="147"/>
      <c r="HX82" s="147"/>
      <c r="HY82" s="147"/>
      <c r="HZ82" s="147"/>
    </row>
    <row r="83" spans="1:234" ht="12.75" hidden="1" customHeight="1" x14ac:dyDescent="0.3">
      <c r="A83" s="56"/>
      <c r="B83" s="186"/>
      <c r="C83" s="187"/>
      <c r="D83" s="188"/>
      <c r="E83" s="187"/>
      <c r="F83" s="159">
        <f>'Pepino ensalada '!F83*'Al 22.06.22'!$I$54</f>
        <v>0</v>
      </c>
      <c r="G83" s="189"/>
    </row>
    <row r="84" spans="1:234" ht="12.75" hidden="1" customHeight="1" x14ac:dyDescent="0.3">
      <c r="A84" s="56"/>
      <c r="B84" s="186"/>
      <c r="C84" s="187"/>
      <c r="D84" s="188"/>
      <c r="E84" s="187"/>
      <c r="F84" s="159">
        <f>'Pepino ensalada '!F84*'Al 22.06.22'!$I$54</f>
        <v>0</v>
      </c>
      <c r="G84" s="189"/>
    </row>
    <row r="85" spans="1:234" ht="12.75" customHeight="1" x14ac:dyDescent="0.3">
      <c r="A85" s="56"/>
      <c r="B85" s="186" t="s">
        <v>149</v>
      </c>
      <c r="C85" s="187" t="s">
        <v>133</v>
      </c>
      <c r="D85" s="188">
        <v>2</v>
      </c>
      <c r="E85" s="187" t="s">
        <v>77</v>
      </c>
      <c r="F85" s="159">
        <f>'Pepino ensalada '!F85*'Al 22.06.22'!$I$54</f>
        <v>101419.34</v>
      </c>
      <c r="G85" s="189">
        <f>D85*F85</f>
        <v>202838.68</v>
      </c>
    </row>
    <row r="86" spans="1:234" ht="12.75" customHeight="1" x14ac:dyDescent="0.3">
      <c r="A86" s="56"/>
      <c r="B86" s="186" t="s">
        <v>150</v>
      </c>
      <c r="C86" s="187" t="s">
        <v>85</v>
      </c>
      <c r="D86" s="188">
        <v>1</v>
      </c>
      <c r="E86" s="187" t="s">
        <v>77</v>
      </c>
      <c r="F86" s="159">
        <f>'Pepino ensalada '!F86*'Al 22.06.22'!$I$54</f>
        <v>76410.399999999994</v>
      </c>
      <c r="G86" s="189">
        <f>D86*F86</f>
        <v>76410.399999999994</v>
      </c>
    </row>
    <row r="87" spans="1:234" ht="12.75" customHeight="1" x14ac:dyDescent="0.3">
      <c r="A87" s="56"/>
      <c r="B87" s="190" t="s">
        <v>104</v>
      </c>
      <c r="C87" s="187"/>
      <c r="D87" s="188"/>
      <c r="E87" s="187"/>
      <c r="F87" s="159">
        <f>'Pepino ensalada '!F87*'Al 22.06.22'!$I$54</f>
        <v>0</v>
      </c>
      <c r="G87" s="189"/>
    </row>
    <row r="88" spans="1:234" ht="12.75" customHeight="1" x14ac:dyDescent="0.3">
      <c r="A88" s="56"/>
      <c r="B88" s="186" t="s">
        <v>151</v>
      </c>
      <c r="C88" s="187" t="s">
        <v>133</v>
      </c>
      <c r="D88" s="188">
        <v>1</v>
      </c>
      <c r="E88" s="187" t="s">
        <v>77</v>
      </c>
      <c r="F88" s="159">
        <f>'Pepino ensalada '!F88*'Al 22.06.22'!$I$54</f>
        <v>64528.749999999993</v>
      </c>
      <c r="G88" s="189">
        <f>D88*F88</f>
        <v>64528.749999999993</v>
      </c>
    </row>
    <row r="89" spans="1:234" ht="12.75" customHeight="1" x14ac:dyDescent="0.3">
      <c r="A89" s="56"/>
      <c r="B89" s="186" t="s">
        <v>152</v>
      </c>
      <c r="C89" s="187" t="s">
        <v>85</v>
      </c>
      <c r="D89" s="188">
        <v>2</v>
      </c>
      <c r="E89" s="187" t="s">
        <v>77</v>
      </c>
      <c r="F89" s="159">
        <f>'Pepino ensalada '!F89*'Al 22.06.22'!$I$54</f>
        <v>182678.53999999998</v>
      </c>
      <c r="G89" s="189">
        <f>D89*F89</f>
        <v>365357.07999999996</v>
      </c>
    </row>
    <row r="90" spans="1:234" ht="12.75" customHeight="1" x14ac:dyDescent="0.3">
      <c r="A90" s="56"/>
      <c r="B90" s="186" t="s">
        <v>98</v>
      </c>
      <c r="C90" s="187" t="s">
        <v>85</v>
      </c>
      <c r="D90" s="188">
        <v>1</v>
      </c>
      <c r="E90" s="187" t="s">
        <v>99</v>
      </c>
      <c r="F90" s="159">
        <f>'Pepino ensalada '!F90*'Al 22.06.22'!$I$54</f>
        <v>108575.59404999999</v>
      </c>
      <c r="G90" s="189">
        <f>D90*F90</f>
        <v>108575.59404999999</v>
      </c>
    </row>
    <row r="91" spans="1:234" ht="12.75" customHeight="1" x14ac:dyDescent="0.3">
      <c r="A91" s="56"/>
      <c r="B91" s="186" t="s">
        <v>115</v>
      </c>
      <c r="C91" s="187" t="s">
        <v>113</v>
      </c>
      <c r="D91" s="188">
        <v>5</v>
      </c>
      <c r="E91" s="187" t="s">
        <v>114</v>
      </c>
      <c r="F91" s="159">
        <f>'Pepino ensalada '!F91*'Al 22.06.22'!$I$54</f>
        <v>2148.8543999999997</v>
      </c>
      <c r="G91" s="189">
        <f t="shared" si="2"/>
        <v>10744.271999999999</v>
      </c>
    </row>
    <row r="92" spans="1:234" ht="12.75" customHeight="1" x14ac:dyDescent="0.3">
      <c r="A92" s="56"/>
      <c r="B92" s="136" t="s">
        <v>122</v>
      </c>
      <c r="C92" s="94"/>
      <c r="D92" s="96"/>
      <c r="E92" s="94"/>
      <c r="F92" s="159">
        <f>'Pepino ensalada '!F92*'Al 22.06.22'!$I$54</f>
        <v>0</v>
      </c>
      <c r="G92" s="97">
        <f t="shared" si="2"/>
        <v>0</v>
      </c>
    </row>
    <row r="93" spans="1:234" ht="12.75" customHeight="1" x14ac:dyDescent="0.3">
      <c r="A93" s="56"/>
      <c r="B93" s="144" t="s">
        <v>109</v>
      </c>
      <c r="C93" s="192" t="s">
        <v>123</v>
      </c>
      <c r="D93" s="151">
        <f>2/2</f>
        <v>1</v>
      </c>
      <c r="E93" s="168" t="s">
        <v>108</v>
      </c>
      <c r="F93" s="159">
        <f>'Pepino ensalada '!F93*'Al 22.06.22'!$I$54</f>
        <v>69638.799999999988</v>
      </c>
      <c r="G93" s="151">
        <f>F93*D93</f>
        <v>69638.799999999988</v>
      </c>
    </row>
    <row r="94" spans="1:234" ht="12.75" customHeight="1" x14ac:dyDescent="0.3">
      <c r="A94" s="56"/>
      <c r="B94" s="99"/>
      <c r="C94" s="94"/>
      <c r="D94" s="96"/>
      <c r="E94" s="94"/>
      <c r="F94" s="97"/>
      <c r="G94" s="97"/>
    </row>
    <row r="95" spans="1:234" ht="13.5" customHeight="1" x14ac:dyDescent="0.3">
      <c r="A95" s="56"/>
      <c r="B95" s="121" t="s">
        <v>30</v>
      </c>
      <c r="C95" s="122"/>
      <c r="D95" s="122"/>
      <c r="E95" s="122"/>
      <c r="F95" s="123"/>
      <c r="G95" s="130">
        <f>SUM(G54:G93)</f>
        <v>16293936.80247573</v>
      </c>
    </row>
    <row r="96" spans="1:234" ht="12" customHeight="1" x14ac:dyDescent="0.3">
      <c r="A96" s="2"/>
      <c r="B96" s="116"/>
      <c r="C96" s="117"/>
      <c r="D96" s="117"/>
      <c r="E96" s="118"/>
      <c r="F96" s="119"/>
      <c r="G96" s="120"/>
    </row>
    <row r="97" spans="1:7" ht="12" customHeight="1" x14ac:dyDescent="0.3">
      <c r="A97" s="5"/>
      <c r="B97" s="29" t="s">
        <v>31</v>
      </c>
      <c r="C97" s="30"/>
      <c r="D97" s="31"/>
      <c r="E97" s="31"/>
      <c r="F97" s="32"/>
      <c r="G97" s="106"/>
    </row>
    <row r="98" spans="1:7" ht="24" customHeight="1" x14ac:dyDescent="0.3">
      <c r="A98" s="5"/>
      <c r="B98" s="115" t="s">
        <v>32</v>
      </c>
      <c r="C98" s="95" t="s">
        <v>28</v>
      </c>
      <c r="D98" s="95" t="s">
        <v>29</v>
      </c>
      <c r="E98" s="115" t="s">
        <v>17</v>
      </c>
      <c r="F98" s="95" t="s">
        <v>18</v>
      </c>
      <c r="G98" s="115" t="s">
        <v>19</v>
      </c>
    </row>
    <row r="99" spans="1:7" ht="16.5" customHeight="1" x14ac:dyDescent="0.3">
      <c r="A99" s="56"/>
      <c r="B99" s="169" t="s">
        <v>105</v>
      </c>
      <c r="C99" s="169" t="s">
        <v>106</v>
      </c>
      <c r="D99" s="169">
        <v>6</v>
      </c>
      <c r="E99" s="169" t="s">
        <v>107</v>
      </c>
      <c r="F99" s="170">
        <v>120000</v>
      </c>
      <c r="G99" s="170">
        <f t="shared" ref="G99" si="3">F99*D99</f>
        <v>720000</v>
      </c>
    </row>
    <row r="100" spans="1:7" ht="13.5" customHeight="1" x14ac:dyDescent="0.3">
      <c r="A100" s="5"/>
      <c r="B100" s="152" t="s">
        <v>33</v>
      </c>
      <c r="C100" s="47"/>
      <c r="D100" s="47"/>
      <c r="E100" s="114"/>
      <c r="F100" s="48"/>
      <c r="G100" s="131">
        <f>SUM(G99)</f>
        <v>720000</v>
      </c>
    </row>
    <row r="101" spans="1:7" ht="12" customHeight="1" x14ac:dyDescent="0.3">
      <c r="A101" s="2"/>
      <c r="B101" s="59"/>
      <c r="C101" s="59"/>
      <c r="D101" s="59"/>
      <c r="E101" s="59"/>
      <c r="F101" s="60"/>
      <c r="G101" s="109"/>
    </row>
    <row r="102" spans="1:7" ht="12" customHeight="1" x14ac:dyDescent="0.3">
      <c r="A102" s="56"/>
      <c r="B102" s="61" t="s">
        <v>34</v>
      </c>
      <c r="C102" s="62"/>
      <c r="D102" s="62"/>
      <c r="E102" s="62"/>
      <c r="F102" s="62"/>
      <c r="G102" s="63">
        <f>G39+G44+G49+G95+G100</f>
        <v>29541336.802475728</v>
      </c>
    </row>
    <row r="103" spans="1:7" ht="12" customHeight="1" x14ac:dyDescent="0.3">
      <c r="A103" s="56"/>
      <c r="B103" s="64" t="s">
        <v>35</v>
      </c>
      <c r="C103" s="50"/>
      <c r="D103" s="50"/>
      <c r="E103" s="50"/>
      <c r="F103" s="50"/>
      <c r="G103" s="65">
        <f>G102*0.05</f>
        <v>1477066.8401237866</v>
      </c>
    </row>
    <row r="104" spans="1:7" ht="12" customHeight="1" x14ac:dyDescent="0.3">
      <c r="A104" s="56"/>
      <c r="B104" s="66" t="s">
        <v>36</v>
      </c>
      <c r="C104" s="49"/>
      <c r="D104" s="49"/>
      <c r="E104" s="49"/>
      <c r="F104" s="49"/>
      <c r="G104" s="67">
        <f>G103+G102</f>
        <v>31018403.642599516</v>
      </c>
    </row>
    <row r="105" spans="1:7" ht="12" customHeight="1" x14ac:dyDescent="0.3">
      <c r="A105" s="56"/>
      <c r="B105" s="64" t="s">
        <v>37</v>
      </c>
      <c r="C105" s="50"/>
      <c r="D105" s="50"/>
      <c r="E105" s="50"/>
      <c r="F105" s="50"/>
      <c r="G105" s="65">
        <f>G12</f>
        <v>33120000</v>
      </c>
    </row>
    <row r="106" spans="1:7" ht="12" customHeight="1" x14ac:dyDescent="0.3">
      <c r="A106" s="56"/>
      <c r="B106" s="68" t="s">
        <v>38</v>
      </c>
      <c r="C106" s="69"/>
      <c r="D106" s="69"/>
      <c r="E106" s="69"/>
      <c r="F106" s="69"/>
      <c r="G106" s="63">
        <f>G105-G104</f>
        <v>2101596.3574004844</v>
      </c>
    </row>
    <row r="107" spans="1:7" ht="12" customHeight="1" x14ac:dyDescent="0.3">
      <c r="A107" s="56"/>
      <c r="B107" s="57" t="s">
        <v>39</v>
      </c>
      <c r="C107" s="58"/>
      <c r="D107" s="58"/>
      <c r="E107" s="58"/>
      <c r="F107" s="58"/>
      <c r="G107" s="110"/>
    </row>
    <row r="108" spans="1:7" ht="12.75" customHeight="1" thickBot="1" x14ac:dyDescent="0.35">
      <c r="A108" s="56"/>
      <c r="B108" s="70"/>
      <c r="C108" s="58"/>
      <c r="D108" s="58"/>
      <c r="E108" s="58"/>
      <c r="F108" s="58"/>
      <c r="G108" s="110"/>
    </row>
    <row r="109" spans="1:7" ht="12" customHeight="1" x14ac:dyDescent="0.3">
      <c r="A109" s="56"/>
      <c r="B109" s="81" t="s">
        <v>40</v>
      </c>
      <c r="C109" s="82"/>
      <c r="D109" s="82"/>
      <c r="E109" s="82"/>
      <c r="F109" s="83"/>
      <c r="G109" s="110"/>
    </row>
    <row r="110" spans="1:7" ht="12" customHeight="1" x14ac:dyDescent="0.3">
      <c r="A110" s="56"/>
      <c r="B110" s="84" t="s">
        <v>41</v>
      </c>
      <c r="C110" s="55"/>
      <c r="D110" s="55"/>
      <c r="E110" s="55"/>
      <c r="F110" s="85"/>
      <c r="G110" s="110"/>
    </row>
    <row r="111" spans="1:7" ht="12" customHeight="1" x14ac:dyDescent="0.3">
      <c r="A111" s="56"/>
      <c r="B111" s="84" t="s">
        <v>42</v>
      </c>
      <c r="C111" s="55"/>
      <c r="D111" s="55"/>
      <c r="E111" s="55"/>
      <c r="F111" s="85"/>
      <c r="G111" s="110"/>
    </row>
    <row r="112" spans="1:7" ht="12" customHeight="1" x14ac:dyDescent="0.3">
      <c r="A112" s="56"/>
      <c r="B112" s="84" t="s">
        <v>43</v>
      </c>
      <c r="C112" s="55"/>
      <c r="D112" s="55"/>
      <c r="E112" s="55"/>
      <c r="F112" s="85"/>
      <c r="G112" s="110"/>
    </row>
    <row r="113" spans="1:7" ht="12" customHeight="1" x14ac:dyDescent="0.3">
      <c r="A113" s="56"/>
      <c r="B113" s="84" t="s">
        <v>44</v>
      </c>
      <c r="C113" s="55"/>
      <c r="D113" s="55"/>
      <c r="E113" s="55"/>
      <c r="F113" s="85"/>
      <c r="G113" s="110"/>
    </row>
    <row r="114" spans="1:7" ht="12" customHeight="1" x14ac:dyDescent="0.3">
      <c r="A114" s="56"/>
      <c r="B114" s="84" t="s">
        <v>45</v>
      </c>
      <c r="C114" s="55"/>
      <c r="D114" s="55"/>
      <c r="E114" s="55"/>
      <c r="F114" s="85"/>
      <c r="G114" s="110"/>
    </row>
    <row r="115" spans="1:7" ht="12.75" customHeight="1" thickBot="1" x14ac:dyDescent="0.35">
      <c r="A115" s="56"/>
      <c r="B115" s="86" t="s">
        <v>46</v>
      </c>
      <c r="C115" s="87"/>
      <c r="D115" s="87"/>
      <c r="E115" s="87"/>
      <c r="F115" s="88"/>
      <c r="G115" s="110"/>
    </row>
    <row r="116" spans="1:7" ht="12.75" customHeight="1" x14ac:dyDescent="0.3">
      <c r="A116" s="56"/>
      <c r="B116" s="79"/>
      <c r="C116" s="55"/>
      <c r="D116" s="55"/>
      <c r="E116" s="55"/>
      <c r="F116" s="55"/>
      <c r="G116" s="110"/>
    </row>
    <row r="117" spans="1:7" ht="15" customHeight="1" thickBot="1" x14ac:dyDescent="0.35">
      <c r="A117" s="56"/>
      <c r="B117" s="212" t="s">
        <v>47</v>
      </c>
      <c r="C117" s="213"/>
      <c r="D117" s="78"/>
      <c r="E117" s="51"/>
      <c r="F117" s="51"/>
      <c r="G117" s="110"/>
    </row>
    <row r="118" spans="1:7" ht="12" customHeight="1" x14ac:dyDescent="0.3">
      <c r="A118" s="56"/>
      <c r="B118" s="72" t="s">
        <v>32</v>
      </c>
      <c r="C118" s="132" t="s">
        <v>48</v>
      </c>
      <c r="D118" s="133" t="s">
        <v>49</v>
      </c>
      <c r="E118" s="51"/>
      <c r="F118" s="51"/>
      <c r="G118" s="110"/>
    </row>
    <row r="119" spans="1:7" ht="12" customHeight="1" x14ac:dyDescent="0.3">
      <c r="A119" s="56"/>
      <c r="B119" s="73" t="s">
        <v>50</v>
      </c>
      <c r="C119" s="52">
        <f>G39</f>
        <v>12382500</v>
      </c>
      <c r="D119" s="74">
        <f>(C119/C125)</f>
        <v>0.39919849334200869</v>
      </c>
      <c r="E119" s="51"/>
      <c r="F119" s="51"/>
      <c r="G119" s="110"/>
    </row>
    <row r="120" spans="1:7" ht="12" customHeight="1" x14ac:dyDescent="0.3">
      <c r="A120" s="56"/>
      <c r="B120" s="73" t="s">
        <v>51</v>
      </c>
      <c r="C120" s="52">
        <f>G44</f>
        <v>0</v>
      </c>
      <c r="D120" s="74">
        <v>0</v>
      </c>
      <c r="E120" s="51"/>
      <c r="F120" s="51"/>
      <c r="G120" s="110"/>
    </row>
    <row r="121" spans="1:7" ht="12" customHeight="1" x14ac:dyDescent="0.3">
      <c r="A121" s="56"/>
      <c r="B121" s="73" t="s">
        <v>52</v>
      </c>
      <c r="C121" s="52">
        <f>G49</f>
        <v>144900</v>
      </c>
      <c r="D121" s="74">
        <f>(C121/C125)</f>
        <v>4.671420285504305E-3</v>
      </c>
      <c r="E121" s="51"/>
      <c r="F121" s="51"/>
      <c r="G121" s="110"/>
    </row>
    <row r="122" spans="1:7" ht="12" customHeight="1" x14ac:dyDescent="0.3">
      <c r="A122" s="56"/>
      <c r="B122" s="73" t="s">
        <v>27</v>
      </c>
      <c r="C122" s="52">
        <f>G95</f>
        <v>16293936.80247573</v>
      </c>
      <c r="D122" s="74">
        <f>(C122/C125)</f>
        <v>0.52529901249006405</v>
      </c>
      <c r="E122" s="51"/>
      <c r="F122" s="51"/>
      <c r="G122" s="110"/>
    </row>
    <row r="123" spans="1:7" ht="12" customHeight="1" x14ac:dyDescent="0.3">
      <c r="A123" s="56"/>
      <c r="B123" s="73" t="s">
        <v>53</v>
      </c>
      <c r="C123" s="53">
        <f>G100</f>
        <v>720000</v>
      </c>
      <c r="D123" s="74">
        <f>(C123/C125)</f>
        <v>2.3212026263375429E-2</v>
      </c>
      <c r="E123" s="54"/>
      <c r="F123" s="54"/>
      <c r="G123" s="110"/>
    </row>
    <row r="124" spans="1:7" ht="12" customHeight="1" x14ac:dyDescent="0.3">
      <c r="A124" s="56"/>
      <c r="B124" s="73" t="s">
        <v>54</v>
      </c>
      <c r="C124" s="53">
        <f>G103</f>
        <v>1477066.8401237866</v>
      </c>
      <c r="D124" s="74">
        <f>(C124/C125)</f>
        <v>4.7619047619047623E-2</v>
      </c>
      <c r="E124" s="54"/>
      <c r="F124" s="54"/>
      <c r="G124" s="110"/>
    </row>
    <row r="125" spans="1:7" ht="12.75" customHeight="1" thickBot="1" x14ac:dyDescent="0.35">
      <c r="A125" s="56"/>
      <c r="B125" s="75" t="s">
        <v>55</v>
      </c>
      <c r="C125" s="76">
        <f>SUM(C119:C124)</f>
        <v>31018403.642599516</v>
      </c>
      <c r="D125" s="77">
        <f>SUM(D119:D124)</f>
        <v>1.0000000000000002</v>
      </c>
      <c r="E125" s="54"/>
      <c r="F125" s="54"/>
      <c r="G125" s="110"/>
    </row>
    <row r="126" spans="1:7" ht="12" customHeight="1" x14ac:dyDescent="0.3">
      <c r="A126" s="56"/>
      <c r="B126" s="70"/>
      <c r="C126" s="58"/>
      <c r="D126" s="58"/>
      <c r="E126" s="58"/>
      <c r="F126" s="58"/>
      <c r="G126" s="110"/>
    </row>
    <row r="127" spans="1:7" ht="12.75" customHeight="1" thickBot="1" x14ac:dyDescent="0.35">
      <c r="A127" s="56"/>
      <c r="B127" s="71"/>
      <c r="C127" s="58"/>
      <c r="D127" s="58"/>
      <c r="E127" s="58"/>
      <c r="F127" s="58"/>
      <c r="G127" s="110"/>
    </row>
    <row r="128" spans="1:7" ht="12" customHeight="1" thickBot="1" x14ac:dyDescent="0.35">
      <c r="A128" s="56"/>
      <c r="B128" s="209" t="s">
        <v>110</v>
      </c>
      <c r="C128" s="210"/>
      <c r="D128" s="210"/>
      <c r="E128" s="211"/>
      <c r="F128" s="54"/>
      <c r="G128" s="110"/>
    </row>
    <row r="129" spans="1:7" ht="12" customHeight="1" x14ac:dyDescent="0.3">
      <c r="A129" s="56"/>
      <c r="B129" s="90" t="s">
        <v>156</v>
      </c>
      <c r="C129" s="124">
        <v>300000</v>
      </c>
      <c r="D129" s="124">
        <f>G9</f>
        <v>360000</v>
      </c>
      <c r="E129" s="124">
        <v>400000</v>
      </c>
      <c r="F129" s="89"/>
      <c r="G129" s="111"/>
    </row>
    <row r="130" spans="1:7" ht="12.75" customHeight="1" thickBot="1" x14ac:dyDescent="0.35">
      <c r="A130" s="56"/>
      <c r="B130" s="75" t="s">
        <v>157</v>
      </c>
      <c r="C130" s="191">
        <f>G104/C129</f>
        <v>103.39467880866505</v>
      </c>
      <c r="D130" s="76">
        <f>(G104/D129)</f>
        <v>86.162232340554212</v>
      </c>
      <c r="E130" s="91">
        <f>(G104/E129)</f>
        <v>77.546009106498786</v>
      </c>
      <c r="F130" s="89"/>
      <c r="G130" s="111"/>
    </row>
    <row r="131" spans="1:7" ht="15.6" customHeight="1" x14ac:dyDescent="0.3">
      <c r="A131" s="56"/>
      <c r="B131" s="80" t="s">
        <v>56</v>
      </c>
      <c r="C131" s="55"/>
      <c r="D131" s="55"/>
      <c r="E131" s="55"/>
      <c r="F131" s="55"/>
      <c r="G131" s="112"/>
    </row>
  </sheetData>
  <mergeCells count="9">
    <mergeCell ref="B17:G17"/>
    <mergeCell ref="B117:C117"/>
    <mergeCell ref="B128:E128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D9022-0117-4D8C-BD90-083DC46270A3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1030f0af-99cb-42f1-88fc-acec73331192"/>
    <ds:schemaRef ds:uri="http://schemas.microsoft.com/office/infopath/2007/PartnerControls"/>
    <ds:schemaRef ds:uri="http://purl.org/dc/terms/"/>
    <ds:schemaRef ds:uri="http://schemas.microsoft.com/sharepoint/v3"/>
    <ds:schemaRef ds:uri="http://www.w3.org/XML/1998/namespace"/>
    <ds:schemaRef ds:uri="http://schemas.microsoft.com/office/2006/documentManagement/types"/>
    <ds:schemaRef ds:uri="c5dbce2d-49dc-4afe-a5b0-d7fb7a90116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Pepino ensalada </vt:lpstr>
      <vt:lpstr>Al 22.06.22</vt:lpstr>
      <vt:lpstr>'Pepino ensalada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2022-01-31T19:48:34Z</cp:lastPrinted>
  <dcterms:created xsi:type="dcterms:W3CDTF">2020-11-27T12:49:26Z</dcterms:created>
  <dcterms:modified xsi:type="dcterms:W3CDTF">2022-06-30T16:38:15Z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