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VALPARISO\QUILLOTA\"/>
    </mc:Choice>
  </mc:AlternateContent>
  <bookViews>
    <workbookView xWindow="0" yWindow="0" windowWidth="28800" windowHeight="11475"/>
  </bookViews>
  <sheets>
    <sheet name="AJI INVERNADERO" sheetId="1" r:id="rId1"/>
    <sheet name="2022" sheetId="2" state="hidden" r:id="rId2"/>
    <sheet name="RESUMEN " sheetId="3" state="hidden" r:id="rId3"/>
  </sheets>
  <definedNames>
    <definedName name="_xlnm.Print_Area" localSheetId="1">'2022'!$A$1:$G$141</definedName>
    <definedName name="_xlnm.Print_Area" localSheetId="0">'AJI INVERNADERO'!$A$1:$G$144</definedName>
    <definedName name="_xlnm.Print_Area" localSheetId="2">'RESUMEN '!$A$1:$F$28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3" i="1" l="1"/>
  <c r="D143" i="1"/>
  <c r="C143" i="1"/>
  <c r="G12" i="1"/>
  <c r="J15" i="2"/>
  <c r="J17" i="2"/>
  <c r="D24" i="3" l="1"/>
  <c r="G115" i="1"/>
  <c r="G109" i="1"/>
  <c r="D22" i="3"/>
  <c r="E22" i="3" s="1"/>
  <c r="D20" i="3"/>
  <c r="D19" i="3"/>
  <c r="D18" i="3"/>
  <c r="D17" i="3"/>
  <c r="D16" i="3"/>
  <c r="D15" i="3"/>
  <c r="D14" i="3"/>
  <c r="D13" i="3"/>
  <c r="D12" i="3"/>
  <c r="D11" i="3"/>
  <c r="D10" i="3"/>
  <c r="D9" i="3"/>
  <c r="C5" i="3"/>
  <c r="C4" i="3"/>
  <c r="G108" i="1"/>
  <c r="F107" i="1"/>
  <c r="G107" i="1" s="1"/>
  <c r="F106" i="1"/>
  <c r="G106" i="1" s="1"/>
  <c r="F105" i="1"/>
  <c r="G105" i="1" s="1"/>
  <c r="F104" i="1"/>
  <c r="G104" i="1" s="1"/>
  <c r="F103" i="1"/>
  <c r="G103" i="1" s="1"/>
  <c r="F102" i="1"/>
  <c r="G102" i="1" s="1"/>
  <c r="F87" i="1"/>
  <c r="G87" i="1" s="1"/>
  <c r="F101" i="1"/>
  <c r="G101" i="1" s="1"/>
  <c r="G64" i="1"/>
  <c r="C130" i="2"/>
  <c r="G109" i="2"/>
  <c r="G110" i="2" s="1"/>
  <c r="C133" i="2" s="1"/>
  <c r="F103" i="2"/>
  <c r="G103" i="2" s="1"/>
  <c r="D103" i="2"/>
  <c r="F100" i="2"/>
  <c r="G100" i="2" s="1"/>
  <c r="F99" i="2"/>
  <c r="G99" i="2" s="1"/>
  <c r="F98" i="2"/>
  <c r="G98" i="2" s="1"/>
  <c r="F97" i="2"/>
  <c r="G97" i="2" s="1"/>
  <c r="F96" i="2"/>
  <c r="G96" i="2" s="1"/>
  <c r="G93" i="2"/>
  <c r="F93" i="2"/>
  <c r="F92" i="2"/>
  <c r="G92" i="2" s="1"/>
  <c r="F91" i="2"/>
  <c r="D91" i="2"/>
  <c r="F90" i="2"/>
  <c r="G90" i="2" s="1"/>
  <c r="F89" i="2"/>
  <c r="G89" i="2" s="1"/>
  <c r="F88" i="2"/>
  <c r="G88" i="2" s="1"/>
  <c r="F84" i="2"/>
  <c r="G84" i="2" s="1"/>
  <c r="F83" i="2"/>
  <c r="G83" i="2" s="1"/>
  <c r="F82" i="2"/>
  <c r="G82" i="2" s="1"/>
  <c r="F81" i="2"/>
  <c r="G81" i="2" s="1"/>
  <c r="F80" i="2"/>
  <c r="G80" i="2" s="1"/>
  <c r="F79" i="2"/>
  <c r="G79" i="2" s="1"/>
  <c r="G78" i="2"/>
  <c r="F78" i="2"/>
  <c r="G77" i="2"/>
  <c r="G74" i="2"/>
  <c r="G72" i="2"/>
  <c r="G71" i="2"/>
  <c r="F71" i="2"/>
  <c r="F70" i="2"/>
  <c r="G70" i="2" s="1"/>
  <c r="F68" i="2"/>
  <c r="G68" i="2" s="1"/>
  <c r="G67" i="2"/>
  <c r="G66" i="2"/>
  <c r="F65" i="2"/>
  <c r="G65" i="2" s="1"/>
  <c r="F64" i="2"/>
  <c r="G64" i="2" s="1"/>
  <c r="F63" i="2"/>
  <c r="G63" i="2" s="1"/>
  <c r="F62" i="2"/>
  <c r="G62" i="2" s="1"/>
  <c r="F61" i="2"/>
  <c r="G61" i="2" s="1"/>
  <c r="G60" i="2"/>
  <c r="D60" i="2"/>
  <c r="D53" i="2"/>
  <c r="F53" i="2" s="1"/>
  <c r="F52" i="2"/>
  <c r="D52" i="2"/>
  <c r="G52" i="2" s="1"/>
  <c r="G41" i="2"/>
  <c r="G39" i="2"/>
  <c r="G36" i="2"/>
  <c r="G35" i="2"/>
  <c r="D34" i="2"/>
  <c r="G34" i="2" s="1"/>
  <c r="D33" i="2"/>
  <c r="G33" i="2" s="1"/>
  <c r="G32" i="2"/>
  <c r="D32" i="2"/>
  <c r="D31" i="2"/>
  <c r="G31" i="2" s="1"/>
  <c r="G30" i="2"/>
  <c r="G29" i="2"/>
  <c r="G28" i="2"/>
  <c r="D28" i="2"/>
  <c r="D27" i="2"/>
  <c r="G27" i="2" s="1"/>
  <c r="D26" i="2"/>
  <c r="G26" i="2" s="1"/>
  <c r="G23" i="2"/>
  <c r="G12" i="2"/>
  <c r="G115" i="2" s="1"/>
  <c r="G23" i="1"/>
  <c r="G67" i="1"/>
  <c r="G66" i="1"/>
  <c r="G94" i="1"/>
  <c r="G93" i="1"/>
  <c r="G90" i="1"/>
  <c r="G89" i="1"/>
  <c r="D88" i="1"/>
  <c r="G86" i="1"/>
  <c r="D97" i="1"/>
  <c r="G91" i="2" l="1"/>
  <c r="E14" i="3"/>
  <c r="E9" i="3"/>
  <c r="G43" i="2"/>
  <c r="G55" i="2"/>
  <c r="C131" i="2" s="1"/>
  <c r="G105" i="2"/>
  <c r="C132" i="2" s="1"/>
  <c r="G53" i="2"/>
  <c r="G97" i="1"/>
  <c r="G88" i="1"/>
  <c r="D25" i="3" l="1"/>
  <c r="D26" i="3" s="1"/>
  <c r="G112" i="2"/>
  <c r="G113" i="2" s="1"/>
  <c r="C129" i="2"/>
  <c r="G71" i="1"/>
  <c r="D53" i="1"/>
  <c r="F52" i="1"/>
  <c r="D52" i="1"/>
  <c r="G41" i="1"/>
  <c r="G39" i="1"/>
  <c r="G36" i="1"/>
  <c r="G35" i="1"/>
  <c r="D34" i="1"/>
  <c r="G34" i="1" s="1"/>
  <c r="D33" i="1"/>
  <c r="G33" i="1" s="1"/>
  <c r="D32" i="1"/>
  <c r="G32" i="1" s="1"/>
  <c r="D31" i="1"/>
  <c r="G31" i="1" s="1"/>
  <c r="G30" i="1"/>
  <c r="G29" i="1"/>
  <c r="D28" i="1"/>
  <c r="G28" i="1" s="1"/>
  <c r="D27" i="1"/>
  <c r="G27" i="1" s="1"/>
  <c r="D26" i="1"/>
  <c r="G26" i="1" s="1"/>
  <c r="G112" i="1"/>
  <c r="G113" i="1" s="1"/>
  <c r="G73" i="1"/>
  <c r="G82" i="1"/>
  <c r="G81" i="1"/>
  <c r="G80" i="1"/>
  <c r="G79" i="1"/>
  <c r="G78" i="1"/>
  <c r="G77" i="1"/>
  <c r="G76" i="1"/>
  <c r="F98" i="1"/>
  <c r="G98" i="1" s="1"/>
  <c r="G70" i="1"/>
  <c r="G68" i="1"/>
  <c r="G65" i="1"/>
  <c r="G63" i="1"/>
  <c r="G62" i="1"/>
  <c r="G61" i="1"/>
  <c r="D60" i="1"/>
  <c r="G60" i="1" s="1"/>
  <c r="G118" i="1" l="1"/>
  <c r="G119" i="1" s="1"/>
  <c r="C6" i="3"/>
  <c r="D27" i="3" s="1"/>
  <c r="D28" i="3" s="1"/>
  <c r="C134" i="2"/>
  <c r="G114" i="2"/>
  <c r="G52" i="1"/>
  <c r="G53" i="1"/>
  <c r="C140" i="2" l="1"/>
  <c r="E140" i="2"/>
  <c r="D140" i="2"/>
  <c r="G116" i="2"/>
  <c r="C135" i="2"/>
  <c r="G55" i="1"/>
  <c r="D133" i="2" l="1"/>
  <c r="D131" i="2"/>
  <c r="D132" i="2"/>
  <c r="D129" i="2"/>
  <c r="D134" i="2"/>
  <c r="G43" i="1"/>
  <c r="G116" i="1" s="1"/>
  <c r="G117" i="1" s="1"/>
  <c r="C134" i="1"/>
  <c r="C135" i="1"/>
  <c r="C136" i="1"/>
  <c r="D135" i="2" l="1"/>
  <c r="C132" i="1"/>
  <c r="C133" i="1"/>
  <c r="C137" i="1" l="1"/>
  <c r="C138" i="1" l="1"/>
  <c r="D132" i="1" s="1"/>
  <c r="D137" i="1" l="1"/>
  <c r="D135" i="1"/>
  <c r="D136" i="1"/>
  <c r="D134" i="1"/>
  <c r="D138" i="1" l="1"/>
</calcChain>
</file>

<file path=xl/sharedStrings.xml><?xml version="1.0" encoding="utf-8"?>
<sst xmlns="http://schemas.openxmlformats.org/spreadsheetml/2006/main" count="557" uniqueCount="194">
  <si>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</si>
  <si>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</si>
  <si>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</si>
  <si>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</si>
  <si>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</si>
  <si>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</si>
  <si>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</si>
  <si>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</si>
  <si>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</si>
  <si>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</si>
  <si>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</si>
  <si>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</si>
  <si>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</si>
  <si>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</si>
  <si>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</si>
  <si>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</si>
  <si>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</si>
  <si>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</si>
  <si>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</si>
  <si>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</si>
  <si>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</si>
  <si>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</si>
  <si>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</si>
  <si>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</si>
  <si>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</si>
  <si>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</si>
  <si>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</si>
  <si>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</si>
  <si>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</si>
  <si>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</si>
  <si>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</si>
  <si>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</si>
  <si>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</si>
  <si>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</si>
  <si>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</si>
  <si>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</si>
  <si>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</si>
  <si>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</si>
  <si>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</si>
  <si>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</si>
  <si>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</si>
  <si>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</si>
  <si>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</si>
  <si>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</si>
  <si>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</si>
  <si>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</si>
  <si>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</si>
  <si>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</si>
  <si>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</si>
  <si>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</si>
  <si>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</si>
  <si>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</si>
  <si>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</si>
  <si>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</si>
  <si>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</si>
  <si>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</si>
  <si>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 </t>
  </si>
  <si>
    <t>FERTILIZANTE</t>
  </si>
  <si>
    <t>u</t>
  </si>
  <si>
    <t>kg</t>
  </si>
  <si>
    <t>VALPARAISO</t>
  </si>
  <si>
    <t>Marzo</t>
  </si>
  <si>
    <t>Abril</t>
  </si>
  <si>
    <t xml:space="preserve">Desparramar guano </t>
  </si>
  <si>
    <t>Mayo</t>
  </si>
  <si>
    <t xml:space="preserve">Poner cintas </t>
  </si>
  <si>
    <t>Fertilización de fondo</t>
  </si>
  <si>
    <t>Transplante plantines</t>
  </si>
  <si>
    <t>Junio</t>
  </si>
  <si>
    <t>Julio</t>
  </si>
  <si>
    <t xml:space="preserve">Aplicación Fitosanitarios </t>
  </si>
  <si>
    <t>Fertirriego</t>
  </si>
  <si>
    <t>Jul-Dic</t>
  </si>
  <si>
    <t>Ventilación</t>
  </si>
  <si>
    <t>Limpieza pasillos</t>
  </si>
  <si>
    <t>Arranca de plantas y raspado de pasillos</t>
  </si>
  <si>
    <t>Eliminación de rastrojo</t>
  </si>
  <si>
    <t>N/A</t>
  </si>
  <si>
    <t>horas</t>
  </si>
  <si>
    <t>Fumigacion de suelo + colocacion mulch (tractor)*</t>
  </si>
  <si>
    <t>metro lineal</t>
  </si>
  <si>
    <t>Kg</t>
  </si>
  <si>
    <t>Cinta garetta</t>
  </si>
  <si>
    <t>Guano ave descompuesto</t>
  </si>
  <si>
    <t>m3</t>
  </si>
  <si>
    <t>Mezcla 17-20-20</t>
  </si>
  <si>
    <t>Fosfato monopotasico soluble</t>
  </si>
  <si>
    <t>Julio-agosto</t>
  </si>
  <si>
    <t>Nitrato de potasio soluble</t>
  </si>
  <si>
    <t xml:space="preserve"> Kg</t>
  </si>
  <si>
    <t>Nitrato de calcio soluble</t>
  </si>
  <si>
    <t>Nitrato magnesio soluble</t>
  </si>
  <si>
    <t>Ultrasol multipropósito</t>
  </si>
  <si>
    <t>Ultrasol crecimiento</t>
  </si>
  <si>
    <t>INSECTICIDAS</t>
  </si>
  <si>
    <t>Agosto</t>
  </si>
  <si>
    <t>MEDIO</t>
  </si>
  <si>
    <t>Conducción, poda, entutorado</t>
  </si>
  <si>
    <t xml:space="preserve">Cosecha </t>
  </si>
  <si>
    <t>Evisect</t>
  </si>
  <si>
    <t xml:space="preserve">Tiras pegajosas adhesivas amarillas </t>
  </si>
  <si>
    <t>PREPARACIÓN DE INVERNADEROS</t>
  </si>
  <si>
    <t>MANO DE OBRA LABORES DEL CULTIVO</t>
  </si>
  <si>
    <t xml:space="preserve">MANO DE OBRA COSECHA </t>
  </si>
  <si>
    <t>MANO DE OBRA SELECCIÓN/EMABALAJE</t>
  </si>
  <si>
    <t xml:space="preserve">Selección embalaje </t>
  </si>
  <si>
    <t>CUBIIERTA PLASTICA</t>
  </si>
  <si>
    <t>unidad</t>
  </si>
  <si>
    <t>unidades</t>
  </si>
  <si>
    <t>RIEGO</t>
  </si>
  <si>
    <t>global</t>
  </si>
  <si>
    <t>Diciembre</t>
  </si>
  <si>
    <t>PESTICIDAS</t>
  </si>
  <si>
    <t xml:space="preserve">FUNGICIDAS </t>
  </si>
  <si>
    <t>Luna Experience</t>
  </si>
  <si>
    <t>Nov-Dic</t>
  </si>
  <si>
    <r>
      <t xml:space="preserve">INSUMOS PARA </t>
    </r>
    <r>
      <rPr>
        <b/>
        <sz val="8"/>
        <color rgb="FF000000"/>
        <rFont val="Arial Narrow"/>
        <family val="2"/>
      </rPr>
      <t>MIP</t>
    </r>
  </si>
  <si>
    <t>rollo 0,3 m x 100 m</t>
  </si>
  <si>
    <t>Energia electrica</t>
  </si>
  <si>
    <t>Global</t>
  </si>
  <si>
    <t>$u/hà</t>
  </si>
  <si>
    <t>dic 22 - marzo 23</t>
  </si>
  <si>
    <t>Sept 22-feb 23</t>
  </si>
  <si>
    <t>Jun 22 - feb 23</t>
  </si>
  <si>
    <t>dic 22- marzo 23</t>
  </si>
  <si>
    <t>Amortizacion ( 2 cultivos) Instalación de cubierta plástica y malla antiafido</t>
  </si>
  <si>
    <t xml:space="preserve">Preparación de suelo (Rastra + Tiller + mesero) </t>
  </si>
  <si>
    <t>HELADAS, SEQUIA, VIROSIS</t>
  </si>
  <si>
    <t>Amortización (2 cultivos)Polietileno 2 T 4 m  x 150 micrones</t>
  </si>
  <si>
    <t xml:space="preserve">Doble Techo 1 temporada 4 mt x 40 micrones (amortizado en 1 cultivos) </t>
  </si>
  <si>
    <t>Canaleta 2 temporadas 200 micrones (amortizado en 2 cultivos)</t>
  </si>
  <si>
    <t xml:space="preserve">Lucarnas 0,10 mc (amortizado en 1 cultivo) </t>
  </si>
  <si>
    <t>Ventanas 2 temporadas 0,15 mic (amortizado en 2 cultivos)</t>
  </si>
  <si>
    <t>Cortinas 2 temporadas 150 micrones  (amortizado en 2 cultivos)</t>
  </si>
  <si>
    <t>Rollo Malla antiafidos 20/10 2 mtX100 mt (amortizado en 4 cultivos)</t>
  </si>
  <si>
    <t>Rollo Malla raschell negra 50%. 2,10x100 mt (amortizado en 4 cultivos)</t>
  </si>
  <si>
    <t>Mulch negro-blanco 1 temporadas 1,2 m x 20 micrones x 1000 metros</t>
  </si>
  <si>
    <t xml:space="preserve">Cinta de riego 20 cm (amortizada en 1 cultivos) </t>
  </si>
  <si>
    <t>Profundizacion pozos  (amortizado en 4 cultivos)</t>
  </si>
  <si>
    <t>Jun-abr</t>
  </si>
  <si>
    <t>AJI INVERNADERO CICLO LARGO</t>
  </si>
  <si>
    <t>INFERNO RABIOSO</t>
  </si>
  <si>
    <t>RENDIMIENTO (Kg/ha)</t>
  </si>
  <si>
    <t>SEPT-MAR</t>
  </si>
  <si>
    <t>MERCADO INTERNO</t>
  </si>
  <si>
    <t>oct-mar</t>
  </si>
  <si>
    <t xml:space="preserve">PLANTAS </t>
  </si>
  <si>
    <t xml:space="preserve">Plantines </t>
  </si>
  <si>
    <t>PRECIO ESPERADO ($/kg)</t>
  </si>
  <si>
    <t>Previcur Energy</t>
  </si>
  <si>
    <t>Bellis</t>
  </si>
  <si>
    <t>Ago-Oct</t>
  </si>
  <si>
    <t>Azufre Mojable</t>
  </si>
  <si>
    <t>KG</t>
  </si>
  <si>
    <t>oct-marzo</t>
  </si>
  <si>
    <t>Ridomil Gold</t>
  </si>
  <si>
    <t>Ago-Sept</t>
  </si>
  <si>
    <t>Hurricane</t>
  </si>
  <si>
    <t>Engeo</t>
  </si>
  <si>
    <t>L</t>
  </si>
  <si>
    <t>Septiembre</t>
  </si>
  <si>
    <t>Vertimec</t>
  </si>
  <si>
    <t>Abril A Marzo</t>
  </si>
  <si>
    <t>Magister</t>
  </si>
  <si>
    <t>Sanmite</t>
  </si>
  <si>
    <t xml:space="preserve">LIMACHE </t>
  </si>
  <si>
    <t>Rendimiento  (KG/hà)</t>
  </si>
  <si>
    <t>Costo unitario ($/ KG) (*)</t>
  </si>
  <si>
    <t>ESCENARIOS COSTO UNITARIO  ($/KG)</t>
  </si>
  <si>
    <t>BIOINSUMOS</t>
  </si>
  <si>
    <t>Agrolawen  (EM-1)</t>
  </si>
  <si>
    <t>LT</t>
  </si>
  <si>
    <t>QL-AGRI</t>
  </si>
  <si>
    <t>Trrichoforte</t>
  </si>
  <si>
    <t>Grandevo</t>
  </si>
  <si>
    <t>botector</t>
  </si>
  <si>
    <t>costar use</t>
  </si>
  <si>
    <t>agrocooper</t>
  </si>
  <si>
    <t>baciforte</t>
  </si>
  <si>
    <t>lt</t>
  </si>
  <si>
    <t>INSUMOS PARA MIP</t>
  </si>
  <si>
    <t>PRECIO ESPERADO ($/Kg)</t>
  </si>
  <si>
    <t xml:space="preserve">MANO DE OBRA
713 JORNADAS TOTALES </t>
  </si>
  <si>
    <t>MONO DE OBRA DEL CULTIVO</t>
  </si>
  <si>
    <t>MANO DE OBRA COSECHA</t>
  </si>
  <si>
    <t xml:space="preserve">MANO OBRA Selección embalaje </t>
  </si>
  <si>
    <t xml:space="preserve">MAQUINARIA </t>
  </si>
  <si>
    <t xml:space="preserve">RIEGO </t>
  </si>
  <si>
    <t xml:space="preserve">OTROS </t>
  </si>
  <si>
    <t>Energia electrica para riego</t>
  </si>
  <si>
    <t>AJI INVERNADERO</t>
  </si>
  <si>
    <t>PREPARACION DE INVERNADEROS</t>
  </si>
  <si>
    <t>PLANTINES</t>
  </si>
  <si>
    <t>QUILLOTA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</si>
</sst>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_ &quot;$&quot;* #,##0_ ;_ &quot;$&quot;* \-#,##0_ ;_ &quot;$&quot;* &quot;-&quot;_ ;_ @_ "/>
    <numFmt numFmtId="165" formatCode="_ * #,##0_ ;_ * \-#,##0_ ;_ * &quot;-&quot;_ ;_ @_ "/>
    <numFmt numFmtId="166" formatCode="_ * #,##0.00_ ;_ * \-#,##0.00_ ;_ * &quot;-&quot;??_ ;_ @_ 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  <numFmt numFmtId="169" formatCode="&quot; &quot;* #,##0.00&quot; &quot;;&quot;-&quot;* #,##0.00&quot; &quot;;&quot; &quot;* &quot;-&quot;??&quot; &quot;"/>
    <numFmt numFmtId="170" formatCode="0.0"/>
    <numFmt numFmtId="171" formatCode="&quot; &quot;* #,##0&quot; &quot;;&quot;-&quot;* #,##0&quot; &quot;;&quot; &quot;* &quot;-&quot;??&quot; &quot;"/>
  </numFmts>
  <fonts count="38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name val="Arial Narrow"/>
      <family val="2"/>
    </font>
    <font>
      <sz val="8"/>
      <name val="Arial Narrow"/>
      <family val="2"/>
    </font>
    <font>
      <sz val="8"/>
      <color rgb="FF000000"/>
      <name val="Arial Narrow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sz val="8"/>
      <color rgb="FF000000"/>
      <name val="Arial Narrow"/>
      <family val="2"/>
    </font>
    <font>
      <sz val="8"/>
      <name val="Calibri"/>
      <family val="2"/>
    </font>
    <font>
      <sz val="7"/>
      <color theme="1"/>
      <name val="Helvetica Neue"/>
      <family val="2"/>
      <scheme val="minor"/>
    </font>
    <font>
      <sz val="7"/>
      <name val="Helvetica Neue"/>
      <family val="2"/>
      <scheme val="minor"/>
    </font>
    <font>
      <sz val="9"/>
      <name val="Arial Narrow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sz val="1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7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 applyNumberFormat="0" applyFill="0" applyBorder="0" applyProtection="0"/>
    <xf numFmtId="0" fontId="19" fillId="0" borderId="18"/>
    <xf numFmtId="0" fontId="22" fillId="0" borderId="18" applyNumberFormat="0" applyFill="0" applyBorder="0" applyProtection="0"/>
    <xf numFmtId="165" fontId="22" fillId="0" borderId="18" applyFont="0" applyFill="0" applyBorder="0" applyAlignment="0" applyProtection="0"/>
    <xf numFmtId="9" fontId="22" fillId="0" borderId="18" applyFont="0" applyFill="0" applyBorder="0" applyAlignment="0" applyProtection="0"/>
    <xf numFmtId="0" fontId="1" fillId="0" borderId="18"/>
    <xf numFmtId="43" fontId="1" fillId="0" borderId="18" applyFont="0" applyFill="0" applyBorder="0" applyAlignment="0" applyProtection="0"/>
    <xf numFmtId="0" fontId="26" fillId="0" borderId="18" applyNumberFormat="0" applyFill="0" applyBorder="0" applyProtection="0"/>
    <xf numFmtId="9" fontId="21" fillId="0" borderId="18" applyFont="0" applyFill="0" applyBorder="0" applyAlignment="0" applyProtection="0"/>
    <xf numFmtId="0" fontId="21" fillId="0" borderId="18" applyNumberFormat="0" applyFill="0" applyBorder="0" applyProtection="0"/>
    <xf numFmtId="165" fontId="21" fillId="0" borderId="18" applyFont="0" applyFill="0" applyBorder="0" applyAlignment="0" applyProtection="0"/>
    <xf numFmtId="164" fontId="21" fillId="0" borderId="18" applyFont="0" applyFill="0" applyBorder="0" applyAlignment="0" applyProtection="0"/>
  </cellStyleXfs>
  <cellXfs count="366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49" fontId="2" fillId="3" borderId="4" xfId="0" applyNumberFormat="1" applyFont="1" applyFill="1" applyBorder="1" applyAlignment="1">
      <alignment vertical="center" wrapText="1"/>
    </xf>
    <xf numFmtId="0" fontId="3" fillId="2" borderId="6" xfId="0" applyFont="1" applyFill="1" applyBorder="1"/>
    <xf numFmtId="49" fontId="5" fillId="2" borderId="4" xfId="0" applyNumberFormat="1" applyFont="1" applyFill="1" applyBorder="1" applyAlignment="1">
      <alignment vertical="center" wrapText="1"/>
    </xf>
    <xf numFmtId="0" fontId="6" fillId="2" borderId="6" xfId="0" applyFont="1" applyFill="1" applyBorder="1"/>
    <xf numFmtId="49" fontId="5" fillId="2" borderId="5" xfId="0" applyNumberFormat="1" applyFont="1" applyFill="1" applyBorder="1" applyAlignment="1">
      <alignment wrapText="1"/>
    </xf>
    <xf numFmtId="49" fontId="5" fillId="2" borderId="5" xfId="0" applyNumberFormat="1" applyFont="1" applyFill="1" applyBorder="1"/>
    <xf numFmtId="0" fontId="5" fillId="2" borderId="5" xfId="0" applyFont="1" applyFill="1" applyBorder="1"/>
    <xf numFmtId="0" fontId="3" fillId="2" borderId="7" xfId="0" applyFont="1" applyFill="1" applyBorder="1" applyAlignment="1">
      <alignment wrapText="1"/>
    </xf>
    <xf numFmtId="0" fontId="3" fillId="2" borderId="3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10" xfId="0" applyFont="1" applyFill="1" applyBorder="1" applyAlignment="1">
      <alignment horizontal="left"/>
    </xf>
    <xf numFmtId="0" fontId="3" fillId="2" borderId="10" xfId="0" applyFont="1" applyFill="1" applyBorder="1"/>
    <xf numFmtId="49" fontId="2" fillId="5" borderId="11" xfId="0" applyNumberFormat="1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49" fontId="2" fillId="3" borderId="5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wrapText="1"/>
    </xf>
    <xf numFmtId="49" fontId="8" fillId="3" borderId="5" xfId="0" applyNumberFormat="1" applyFont="1" applyFill="1" applyBorder="1" applyAlignment="1">
      <alignment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vertical="center"/>
    </xf>
    <xf numFmtId="3" fontId="3" fillId="2" borderId="10" xfId="0" applyNumberFormat="1" applyFont="1" applyFill="1" applyBorder="1"/>
    <xf numFmtId="49" fontId="2" fillId="5" borderId="13" xfId="0" applyNumberFormat="1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49" fontId="2" fillId="3" borderId="13" xfId="0" applyNumberFormat="1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49" fontId="4" fillId="3" borderId="13" xfId="0" applyNumberFormat="1" applyFont="1" applyFill="1" applyBorder="1" applyAlignment="1">
      <alignment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0" fontId="3" fillId="2" borderId="15" xfId="0" applyFont="1" applyFill="1" applyBorder="1"/>
    <xf numFmtId="0" fontId="3" fillId="2" borderId="16" xfId="0" applyFont="1" applyFill="1" applyBorder="1"/>
    <xf numFmtId="3" fontId="3" fillId="2" borderId="16" xfId="0" applyNumberFormat="1" applyFont="1" applyFill="1" applyBorder="1"/>
    <xf numFmtId="49" fontId="2" fillId="3" borderId="11" xfId="0" applyNumberFormat="1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center" vertical="center" wrapText="1"/>
    </xf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49" fontId="9" fillId="3" borderId="17" xfId="0" applyNumberFormat="1" applyFont="1" applyFill="1" applyBorder="1" applyAlignment="1">
      <alignment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vertical="center"/>
    </xf>
    <xf numFmtId="0" fontId="2" fillId="5" borderId="13" xfId="0" applyFont="1" applyFill="1" applyBorder="1" applyAlignment="1">
      <alignment vertical="center"/>
    </xf>
    <xf numFmtId="0" fontId="2" fillId="3" borderId="13" xfId="0" applyFont="1" applyFill="1" applyBorder="1" applyAlignment="1">
      <alignment vertical="center"/>
    </xf>
    <xf numFmtId="0" fontId="15" fillId="6" borderId="18" xfId="0" applyFont="1" applyFill="1" applyBorder="1"/>
    <xf numFmtId="0" fontId="10" fillId="6" borderId="18" xfId="0" applyFont="1" applyFill="1" applyBorder="1" applyAlignment="1">
      <alignment vertical="center"/>
    </xf>
    <xf numFmtId="0" fontId="15" fillId="2" borderId="18" xfId="0" applyFont="1" applyFill="1" applyBorder="1"/>
    <xf numFmtId="49" fontId="0" fillId="2" borderId="18" xfId="0" applyNumberFormat="1" applyFill="1" applyBorder="1" applyAlignment="1">
      <alignment vertical="center"/>
    </xf>
    <xf numFmtId="0" fontId="10" fillId="2" borderId="18" xfId="0" applyFont="1" applyFill="1" applyBorder="1" applyAlignment="1">
      <alignment vertical="center"/>
    </xf>
    <xf numFmtId="0" fontId="3" fillId="2" borderId="20" xfId="0" applyFont="1" applyFill="1" applyBorder="1"/>
    <xf numFmtId="3" fontId="3" fillId="2" borderId="20" xfId="0" applyNumberFormat="1" applyFont="1" applyFill="1" applyBorder="1"/>
    <xf numFmtId="49" fontId="2" fillId="5" borderId="21" xfId="0" applyNumberFormat="1" applyFont="1" applyFill="1" applyBorder="1" applyAlignment="1">
      <alignment vertical="center"/>
    </xf>
    <xf numFmtId="0" fontId="2" fillId="5" borderId="22" xfId="0" applyFont="1" applyFill="1" applyBorder="1" applyAlignment="1">
      <alignment vertical="center"/>
    </xf>
    <xf numFmtId="167" fontId="2" fillId="5" borderId="23" xfId="0" applyNumberFormat="1" applyFont="1" applyFill="1" applyBorder="1" applyAlignment="1">
      <alignment vertical="center"/>
    </xf>
    <xf numFmtId="49" fontId="2" fillId="3" borderId="24" xfId="0" applyNumberFormat="1" applyFont="1" applyFill="1" applyBorder="1" applyAlignment="1">
      <alignment vertical="center"/>
    </xf>
    <xf numFmtId="167" fontId="2" fillId="3" borderId="25" xfId="0" applyNumberFormat="1" applyFont="1" applyFill="1" applyBorder="1" applyAlignment="1">
      <alignment vertical="center"/>
    </xf>
    <xf numFmtId="49" fontId="2" fillId="5" borderId="24" xfId="0" applyNumberFormat="1" applyFont="1" applyFill="1" applyBorder="1" applyAlignment="1">
      <alignment vertical="center"/>
    </xf>
    <xf numFmtId="167" fontId="2" fillId="5" borderId="25" xfId="0" applyNumberFormat="1" applyFont="1" applyFill="1" applyBorder="1" applyAlignment="1">
      <alignment vertical="center"/>
    </xf>
    <xf numFmtId="49" fontId="2" fillId="5" borderId="26" xfId="0" applyNumberFormat="1" applyFont="1" applyFill="1" applyBorder="1" applyAlignment="1">
      <alignment vertical="center"/>
    </xf>
    <xf numFmtId="0" fontId="10" fillId="5" borderId="27" xfId="0" applyFont="1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16" fillId="2" borderId="18" xfId="0" applyFont="1" applyFill="1" applyBorder="1" applyAlignment="1">
      <alignment vertical="center"/>
    </xf>
    <xf numFmtId="49" fontId="13" fillId="7" borderId="28" xfId="0" applyNumberFormat="1" applyFont="1" applyFill="1" applyBorder="1" applyAlignment="1">
      <alignment vertical="center"/>
    </xf>
    <xf numFmtId="49" fontId="13" fillId="2" borderId="30" xfId="0" applyNumberFormat="1" applyFont="1" applyFill="1" applyBorder="1" applyAlignment="1">
      <alignment vertical="center"/>
    </xf>
    <xf numFmtId="9" fontId="15" fillId="2" borderId="31" xfId="0" applyNumberFormat="1" applyFont="1" applyFill="1" applyBorder="1"/>
    <xf numFmtId="49" fontId="13" fillId="7" borderId="32" xfId="0" applyNumberFormat="1" applyFont="1" applyFill="1" applyBorder="1" applyAlignment="1">
      <alignment vertical="center"/>
    </xf>
    <xf numFmtId="9" fontId="13" fillId="7" borderId="34" xfId="0" applyNumberFormat="1" applyFont="1" applyFill="1" applyBorder="1" applyAlignment="1">
      <alignment vertical="center"/>
    </xf>
    <xf numFmtId="0" fontId="15" fillId="8" borderId="37" xfId="0" applyFont="1" applyFill="1" applyBorder="1"/>
    <xf numFmtId="0" fontId="15" fillId="2" borderId="18" xfId="0" applyFont="1" applyFill="1" applyBorder="1" applyAlignment="1">
      <alignment vertical="center"/>
    </xf>
    <xf numFmtId="49" fontId="15" fillId="2" borderId="18" xfId="0" applyNumberFormat="1" applyFont="1" applyFill="1" applyBorder="1" applyAlignment="1">
      <alignment vertical="center"/>
    </xf>
    <xf numFmtId="49" fontId="13" fillId="2" borderId="38" xfId="0" applyNumberFormat="1" applyFont="1" applyFill="1" applyBorder="1" applyAlignment="1">
      <alignment vertical="center"/>
    </xf>
    <xf numFmtId="0" fontId="15" fillId="2" borderId="39" xfId="0" applyFont="1" applyFill="1" applyBorder="1"/>
    <xf numFmtId="0" fontId="15" fillId="2" borderId="40" xfId="0" applyFont="1" applyFill="1" applyBorder="1"/>
    <xf numFmtId="49" fontId="15" fillId="2" borderId="41" xfId="0" applyNumberFormat="1" applyFont="1" applyFill="1" applyBorder="1" applyAlignment="1">
      <alignment vertical="center"/>
    </xf>
    <xf numFmtId="0" fontId="15" fillId="2" borderId="42" xfId="0" applyFont="1" applyFill="1" applyBorder="1"/>
    <xf numFmtId="49" fontId="15" fillId="2" borderId="43" xfId="0" applyNumberFormat="1" applyFont="1" applyFill="1" applyBorder="1" applyAlignment="1">
      <alignment vertical="center"/>
    </xf>
    <xf numFmtId="0" fontId="15" fillId="2" borderId="44" xfId="0" applyFont="1" applyFill="1" applyBorder="1"/>
    <xf numFmtId="0" fontId="15" fillId="2" borderId="45" xfId="0" applyFont="1" applyFill="1" applyBorder="1"/>
    <xf numFmtId="0" fontId="13" fillId="6" borderId="18" xfId="0" applyFont="1" applyFill="1" applyBorder="1" applyAlignment="1">
      <alignment vertical="center"/>
    </xf>
    <xf numFmtId="49" fontId="13" fillId="7" borderId="46" xfId="0" applyNumberFormat="1" applyFont="1" applyFill="1" applyBorder="1" applyAlignment="1">
      <alignment vertical="center"/>
    </xf>
    <xf numFmtId="3" fontId="3" fillId="2" borderId="13" xfId="0" applyNumberFormat="1" applyFont="1" applyFill="1" applyBorder="1" applyAlignment="1">
      <alignment vertical="center"/>
    </xf>
    <xf numFmtId="0" fontId="5" fillId="2" borderId="5" xfId="0" applyNumberFormat="1" applyFont="1" applyFill="1" applyBorder="1" applyAlignment="1">
      <alignment horizontal="center" wrapText="1"/>
    </xf>
    <xf numFmtId="49" fontId="5" fillId="2" borderId="48" xfId="0" applyNumberFormat="1" applyFont="1" applyFill="1" applyBorder="1" applyAlignment="1">
      <alignment horizontal="center"/>
    </xf>
    <xf numFmtId="49" fontId="2" fillId="3" borderId="49" xfId="0" applyNumberFormat="1" applyFont="1" applyFill="1" applyBorder="1" applyAlignment="1">
      <alignment horizontal="center" vertical="center" wrapText="1"/>
    </xf>
    <xf numFmtId="0" fontId="5" fillId="2" borderId="48" xfId="0" applyNumberFormat="1" applyFont="1" applyFill="1" applyBorder="1" applyAlignment="1">
      <alignment horizontal="center"/>
    </xf>
    <xf numFmtId="3" fontId="5" fillId="2" borderId="48" xfId="0" applyNumberFormat="1" applyFont="1" applyFill="1" applyBorder="1" applyAlignment="1">
      <alignment horizontal="center"/>
    </xf>
    <xf numFmtId="0" fontId="5" fillId="2" borderId="48" xfId="0" applyFont="1" applyFill="1" applyBorder="1" applyAlignment="1">
      <alignment horizontal="center" vertical="center" wrapText="1"/>
    </xf>
    <xf numFmtId="49" fontId="5" fillId="2" borderId="48" xfId="0" applyNumberFormat="1" applyFon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3" fillId="2" borderId="8" xfId="0" applyFont="1" applyFill="1" applyBorder="1" applyAlignment="1">
      <alignment horizontal="right" wrapText="1"/>
    </xf>
    <xf numFmtId="0" fontId="3" fillId="2" borderId="10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 vertical="center"/>
    </xf>
    <xf numFmtId="3" fontId="3" fillId="2" borderId="10" xfId="0" applyNumberFormat="1" applyFont="1" applyFill="1" applyBorder="1" applyAlignment="1">
      <alignment horizontal="right"/>
    </xf>
    <xf numFmtId="0" fontId="3" fillId="2" borderId="2" xfId="0" applyFont="1" applyFill="1" applyBorder="1" applyAlignment="1">
      <alignment horizontal="right" vertical="center"/>
    </xf>
    <xf numFmtId="3" fontId="3" fillId="2" borderId="16" xfId="0" applyNumberFormat="1" applyFont="1" applyFill="1" applyBorder="1" applyAlignment="1">
      <alignment horizontal="right"/>
    </xf>
    <xf numFmtId="49" fontId="2" fillId="3" borderId="49" xfId="0" applyNumberFormat="1" applyFont="1" applyFill="1" applyBorder="1" applyAlignment="1">
      <alignment horizontal="right" vertical="center" wrapText="1"/>
    </xf>
    <xf numFmtId="3" fontId="3" fillId="2" borderId="20" xfId="0" applyNumberFormat="1" applyFont="1" applyFill="1" applyBorder="1" applyAlignment="1">
      <alignment horizontal="right"/>
    </xf>
    <xf numFmtId="167" fontId="2" fillId="2" borderId="18" xfId="0" applyNumberFormat="1" applyFont="1" applyFill="1" applyBorder="1" applyAlignment="1">
      <alignment horizontal="right" vertical="center"/>
    </xf>
    <xf numFmtId="167" fontId="17" fillId="2" borderId="18" xfId="0" applyNumberFormat="1" applyFont="1" applyFill="1" applyBorder="1" applyAlignment="1">
      <alignment horizontal="right" vertical="center"/>
    </xf>
    <xf numFmtId="0" fontId="15" fillId="2" borderId="18" xfId="0" applyFont="1" applyFill="1" applyBorder="1" applyAlignment="1">
      <alignment horizontal="right"/>
    </xf>
    <xf numFmtId="0" fontId="0" fillId="0" borderId="0" xfId="0" applyNumberFormat="1" applyAlignment="1">
      <alignment horizontal="right"/>
    </xf>
    <xf numFmtId="0" fontId="9" fillId="3" borderId="17" xfId="0" applyFont="1" applyFill="1" applyBorder="1" applyAlignment="1">
      <alignment horizontal="right" vertical="center"/>
    </xf>
    <xf numFmtId="49" fontId="2" fillId="3" borderId="49" xfId="0" applyNumberFormat="1" applyFont="1" applyFill="1" applyBorder="1" applyAlignment="1">
      <alignment horizontal="center" vertical="center"/>
    </xf>
    <xf numFmtId="0" fontId="3" fillId="2" borderId="50" xfId="0" applyFont="1" applyFill="1" applyBorder="1"/>
    <xf numFmtId="0" fontId="3" fillId="2" borderId="51" xfId="0" applyFont="1" applyFill="1" applyBorder="1"/>
    <xf numFmtId="0" fontId="3" fillId="2" borderId="51" xfId="0" applyFont="1" applyFill="1" applyBorder="1" applyAlignment="1">
      <alignment horizontal="center"/>
    </xf>
    <xf numFmtId="3" fontId="3" fillId="2" borderId="51" xfId="0" applyNumberFormat="1" applyFont="1" applyFill="1" applyBorder="1"/>
    <xf numFmtId="3" fontId="3" fillId="2" borderId="51" xfId="0" applyNumberFormat="1" applyFont="1" applyFill="1" applyBorder="1" applyAlignment="1">
      <alignment horizontal="right"/>
    </xf>
    <xf numFmtId="49" fontId="9" fillId="3" borderId="48" xfId="0" applyNumberFormat="1" applyFont="1" applyFill="1" applyBorder="1" applyAlignment="1">
      <alignment vertical="center"/>
    </xf>
    <xf numFmtId="0" fontId="9" fillId="3" borderId="48" xfId="0" applyFont="1" applyFill="1" applyBorder="1" applyAlignment="1">
      <alignment horizontal="center" vertical="center"/>
    </xf>
    <xf numFmtId="0" fontId="9" fillId="3" borderId="48" xfId="0" applyFont="1" applyFill="1" applyBorder="1" applyAlignment="1">
      <alignment vertical="center"/>
    </xf>
    <xf numFmtId="3" fontId="13" fillId="7" borderId="47" xfId="0" applyNumberFormat="1" applyFont="1" applyFill="1" applyBorder="1" applyAlignment="1">
      <alignment vertical="center"/>
    </xf>
    <xf numFmtId="3" fontId="5" fillId="2" borderId="5" xfId="0" applyNumberFormat="1" applyFont="1" applyFill="1" applyBorder="1" applyAlignment="1">
      <alignment horizontal="center" wrapText="1"/>
    </xf>
    <xf numFmtId="3" fontId="8" fillId="3" borderId="5" xfId="0" applyNumberFormat="1" applyFont="1" applyFill="1" applyBorder="1" applyAlignment="1">
      <alignment horizontal="center" vertical="center"/>
    </xf>
    <xf numFmtId="3" fontId="8" fillId="3" borderId="13" xfId="0" applyNumberFormat="1" applyFont="1" applyFill="1" applyBorder="1" applyAlignment="1">
      <alignment horizontal="center" vertical="center"/>
    </xf>
    <xf numFmtId="3" fontId="3" fillId="2" borderId="13" xfId="0" applyNumberFormat="1" applyFont="1" applyFill="1" applyBorder="1" applyAlignment="1">
      <alignment horizontal="center" vertical="center"/>
    </xf>
    <xf numFmtId="3" fontId="4" fillId="3" borderId="13" xfId="0" applyNumberFormat="1" applyFont="1" applyFill="1" applyBorder="1" applyAlignment="1">
      <alignment horizontal="center" vertical="center"/>
    </xf>
    <xf numFmtId="3" fontId="9" fillId="3" borderId="48" xfId="0" applyNumberFormat="1" applyFont="1" applyFill="1" applyBorder="1" applyAlignment="1">
      <alignment horizontal="center" vertical="center"/>
    </xf>
    <xf numFmtId="3" fontId="9" fillId="3" borderId="17" xfId="0" applyNumberFormat="1" applyFont="1" applyFill="1" applyBorder="1" applyAlignment="1">
      <alignment horizontal="center" vertical="center"/>
    </xf>
    <xf numFmtId="49" fontId="15" fillId="7" borderId="29" xfId="0" applyNumberFormat="1" applyFont="1" applyFill="1" applyBorder="1" applyAlignment="1">
      <alignment horizontal="center"/>
    </xf>
    <xf numFmtId="49" fontId="20" fillId="2" borderId="48" xfId="0" applyNumberFormat="1" applyFont="1" applyFill="1" applyBorder="1" applyAlignment="1">
      <alignment horizontal="left" vertical="center" wrapText="1"/>
    </xf>
    <xf numFmtId="49" fontId="20" fillId="2" borderId="48" xfId="0" applyNumberFormat="1" applyFont="1" applyFill="1" applyBorder="1" applyAlignment="1">
      <alignment horizontal="left"/>
    </xf>
    <xf numFmtId="49" fontId="20" fillId="2" borderId="5" xfId="0" applyNumberFormat="1" applyFont="1" applyFill="1" applyBorder="1" applyAlignment="1">
      <alignment wrapText="1"/>
    </xf>
    <xf numFmtId="49" fontId="5" fillId="2" borderId="55" xfId="7" applyNumberFormat="1" applyFont="1" applyFill="1" applyBorder="1" applyAlignment="1">
      <alignment horizontal="right" vertical="center" wrapText="1"/>
    </xf>
    <xf numFmtId="0" fontId="24" fillId="9" borderId="55" xfId="7" applyFont="1" applyFill="1" applyBorder="1" applyAlignment="1">
      <alignment horizontal="center" vertical="center" wrapText="1"/>
    </xf>
    <xf numFmtId="0" fontId="24" fillId="9" borderId="55" xfId="7" applyFont="1" applyFill="1" applyBorder="1" applyAlignment="1">
      <alignment horizontal="center" vertical="center"/>
    </xf>
    <xf numFmtId="3" fontId="24" fillId="9" borderId="55" xfId="7" applyNumberFormat="1" applyFont="1" applyFill="1" applyBorder="1" applyAlignment="1">
      <alignment horizontal="center" vertical="center"/>
    </xf>
    <xf numFmtId="0" fontId="24" fillId="0" borderId="55" xfId="7" applyFont="1" applyBorder="1" applyAlignment="1">
      <alignment horizontal="center" vertical="center"/>
    </xf>
    <xf numFmtId="3" fontId="24" fillId="0" borderId="55" xfId="7" applyNumberFormat="1" applyFont="1" applyBorder="1" applyAlignment="1">
      <alignment horizontal="center" vertical="center"/>
    </xf>
    <xf numFmtId="2" fontId="24" fillId="9" borderId="55" xfId="7" applyNumberFormat="1" applyFont="1" applyFill="1" applyBorder="1" applyAlignment="1">
      <alignment horizontal="center" vertical="center"/>
    </xf>
    <xf numFmtId="0" fontId="24" fillId="9" borderId="55" xfId="7" applyFont="1" applyFill="1" applyBorder="1" applyAlignment="1">
      <alignment horizontal="left" vertical="center" wrapText="1"/>
    </xf>
    <xf numFmtId="0" fontId="24" fillId="9" borderId="55" xfId="7" applyFont="1" applyFill="1" applyBorder="1" applyAlignment="1">
      <alignment horizontal="left" vertical="center"/>
    </xf>
    <xf numFmtId="0" fontId="5" fillId="9" borderId="48" xfId="0" applyNumberFormat="1" applyFont="1" applyFill="1" applyBorder="1" applyAlignment="1">
      <alignment horizontal="center"/>
    </xf>
    <xf numFmtId="3" fontId="5" fillId="9" borderId="48" xfId="0" applyNumberFormat="1" applyFont="1" applyFill="1" applyBorder="1" applyAlignment="1">
      <alignment horizontal="center"/>
    </xf>
    <xf numFmtId="49" fontId="5" fillId="9" borderId="48" xfId="0" applyNumberFormat="1" applyFont="1" applyFill="1" applyBorder="1" applyAlignment="1">
      <alignment horizontal="center"/>
    </xf>
    <xf numFmtId="49" fontId="5" fillId="10" borderId="5" xfId="0" applyNumberFormat="1" applyFont="1" applyFill="1" applyBorder="1" applyAlignment="1">
      <alignment wrapText="1"/>
    </xf>
    <xf numFmtId="49" fontId="5" fillId="10" borderId="5" xfId="0" applyNumberFormat="1" applyFont="1" applyFill="1" applyBorder="1" applyAlignment="1">
      <alignment horizontal="center" wrapText="1"/>
    </xf>
    <xf numFmtId="0" fontId="5" fillId="10" borderId="5" xfId="0" applyNumberFormat="1" applyFont="1" applyFill="1" applyBorder="1" applyAlignment="1">
      <alignment horizontal="center" wrapText="1"/>
    </xf>
    <xf numFmtId="3" fontId="5" fillId="10" borderId="5" xfId="0" applyNumberFormat="1" applyFont="1" applyFill="1" applyBorder="1" applyAlignment="1">
      <alignment horizontal="center" wrapText="1"/>
    </xf>
    <xf numFmtId="49" fontId="24" fillId="10" borderId="5" xfId="0" applyNumberFormat="1" applyFont="1" applyFill="1" applyBorder="1" applyAlignment="1">
      <alignment horizontal="center" vertical="center" wrapText="1"/>
    </xf>
    <xf numFmtId="0" fontId="24" fillId="10" borderId="5" xfId="0" applyNumberFormat="1" applyFont="1" applyFill="1" applyBorder="1" applyAlignment="1">
      <alignment horizontal="center" vertical="center" wrapText="1"/>
    </xf>
    <xf numFmtId="3" fontId="24" fillId="10" borderId="5" xfId="0" applyNumberFormat="1" applyFont="1" applyFill="1" applyBorder="1" applyAlignment="1">
      <alignment horizontal="center" vertical="center" wrapText="1"/>
    </xf>
    <xf numFmtId="49" fontId="23" fillId="10" borderId="5" xfId="0" applyNumberFormat="1" applyFont="1" applyFill="1" applyBorder="1" applyAlignment="1">
      <alignment wrapText="1"/>
    </xf>
    <xf numFmtId="49" fontId="24" fillId="10" borderId="5" xfId="0" applyNumberFormat="1" applyFont="1" applyFill="1" applyBorder="1" applyAlignment="1">
      <alignment horizontal="center" wrapText="1"/>
    </xf>
    <xf numFmtId="0" fontId="24" fillId="10" borderId="5" xfId="0" applyNumberFormat="1" applyFont="1" applyFill="1" applyBorder="1" applyAlignment="1">
      <alignment horizontal="center" wrapText="1"/>
    </xf>
    <xf numFmtId="3" fontId="24" fillId="10" borderId="5" xfId="0" applyNumberFormat="1" applyFont="1" applyFill="1" applyBorder="1" applyAlignment="1">
      <alignment horizontal="center" wrapText="1"/>
    </xf>
    <xf numFmtId="49" fontId="24" fillId="10" borderId="5" xfId="0" applyNumberFormat="1" applyFont="1" applyFill="1" applyBorder="1" applyAlignment="1">
      <alignment wrapText="1"/>
    </xf>
    <xf numFmtId="49" fontId="5" fillId="10" borderId="48" xfId="0" applyNumberFormat="1" applyFont="1" applyFill="1" applyBorder="1" applyAlignment="1">
      <alignment horizontal="left"/>
    </xf>
    <xf numFmtId="49" fontId="5" fillId="10" borderId="48" xfId="0" applyNumberFormat="1" applyFont="1" applyFill="1" applyBorder="1" applyAlignment="1">
      <alignment horizontal="center"/>
    </xf>
    <xf numFmtId="0" fontId="5" fillId="10" borderId="48" xfId="0" applyNumberFormat="1" applyFont="1" applyFill="1" applyBorder="1" applyAlignment="1">
      <alignment horizontal="center"/>
    </xf>
    <xf numFmtId="3" fontId="5" fillId="10" borderId="48" xfId="0" applyNumberFormat="1" applyFont="1" applyFill="1" applyBorder="1" applyAlignment="1">
      <alignment horizontal="center"/>
    </xf>
    <xf numFmtId="49" fontId="5" fillId="10" borderId="48" xfId="0" applyNumberFormat="1" applyFont="1" applyFill="1" applyBorder="1" applyAlignment="1">
      <alignment horizontal="left" vertical="center" wrapText="1"/>
    </xf>
    <xf numFmtId="1" fontId="5" fillId="10" borderId="48" xfId="0" applyNumberFormat="1" applyFont="1" applyFill="1" applyBorder="1" applyAlignment="1">
      <alignment horizontal="center"/>
    </xf>
    <xf numFmtId="49" fontId="5" fillId="10" borderId="48" xfId="0" applyNumberFormat="1" applyFont="1" applyFill="1" applyBorder="1" applyAlignment="1">
      <alignment horizontal="center" vertical="center" wrapText="1"/>
    </xf>
    <xf numFmtId="49" fontId="5" fillId="10" borderId="48" xfId="0" applyNumberFormat="1" applyFont="1" applyFill="1" applyBorder="1" applyAlignment="1">
      <alignment horizontal="center" vertical="center"/>
    </xf>
    <xf numFmtId="0" fontId="5" fillId="10" borderId="48" xfId="0" applyNumberFormat="1" applyFont="1" applyFill="1" applyBorder="1" applyAlignment="1">
      <alignment horizontal="center" vertical="center"/>
    </xf>
    <xf numFmtId="3" fontId="5" fillId="10" borderId="48" xfId="0" applyNumberFormat="1" applyFont="1" applyFill="1" applyBorder="1" applyAlignment="1">
      <alignment horizontal="center" vertical="center"/>
    </xf>
    <xf numFmtId="0" fontId="24" fillId="9" borderId="55" xfId="2" applyFont="1" applyFill="1" applyBorder="1" applyAlignment="1">
      <alignment horizontal="left" vertical="center" wrapText="1"/>
    </xf>
    <xf numFmtId="0" fontId="24" fillId="9" borderId="55" xfId="2" applyFont="1" applyFill="1" applyBorder="1" applyAlignment="1">
      <alignment horizontal="center" vertical="center"/>
    </xf>
    <xf numFmtId="3" fontId="24" fillId="9" borderId="55" xfId="2" applyNumberFormat="1" applyFont="1" applyFill="1" applyBorder="1" applyAlignment="1">
      <alignment horizontal="center" vertical="center"/>
    </xf>
    <xf numFmtId="3" fontId="24" fillId="0" borderId="55" xfId="2" applyNumberFormat="1" applyFont="1" applyBorder="1" applyAlignment="1">
      <alignment horizontal="center" vertical="center"/>
    </xf>
    <xf numFmtId="49" fontId="20" fillId="9" borderId="48" xfId="0" applyNumberFormat="1" applyFont="1" applyFill="1" applyBorder="1" applyAlignment="1">
      <alignment horizontal="left" vertical="center" wrapText="1"/>
    </xf>
    <xf numFmtId="49" fontId="5" fillId="9" borderId="48" xfId="0" applyNumberFormat="1" applyFont="1" applyFill="1" applyBorder="1" applyAlignment="1">
      <alignment horizontal="center" vertical="center"/>
    </xf>
    <xf numFmtId="0" fontId="5" fillId="9" borderId="48" xfId="0" applyNumberFormat="1" applyFont="1" applyFill="1" applyBorder="1" applyAlignment="1">
      <alignment horizontal="center" vertical="center"/>
    </xf>
    <xf numFmtId="3" fontId="5" fillId="9" borderId="48" xfId="0" applyNumberFormat="1" applyFont="1" applyFill="1" applyBorder="1" applyAlignment="1">
      <alignment horizontal="center" vertical="center"/>
    </xf>
    <xf numFmtId="49" fontId="5" fillId="10" borderId="48" xfId="0" applyNumberFormat="1" applyFont="1" applyFill="1" applyBorder="1" applyAlignment="1">
      <alignment horizontal="left" wrapText="1"/>
    </xf>
    <xf numFmtId="49" fontId="25" fillId="2" borderId="48" xfId="0" applyNumberFormat="1" applyFont="1" applyFill="1" applyBorder="1" applyAlignment="1">
      <alignment horizontal="left"/>
    </xf>
    <xf numFmtId="49" fontId="24" fillId="10" borderId="48" xfId="0" applyNumberFormat="1" applyFont="1" applyFill="1" applyBorder="1" applyAlignment="1">
      <alignment horizontal="center"/>
    </xf>
    <xf numFmtId="0" fontId="24" fillId="10" borderId="48" xfId="0" applyNumberFormat="1" applyFont="1" applyFill="1" applyBorder="1" applyAlignment="1">
      <alignment horizontal="center"/>
    </xf>
    <xf numFmtId="3" fontId="24" fillId="10" borderId="48" xfId="0" applyNumberFormat="1" applyFont="1" applyFill="1" applyBorder="1" applyAlignment="1">
      <alignment horizontal="center"/>
    </xf>
    <xf numFmtId="0" fontId="24" fillId="9" borderId="55" xfId="2" applyFont="1" applyFill="1" applyBorder="1" applyAlignment="1">
      <alignment vertical="center" wrapText="1"/>
    </xf>
    <xf numFmtId="0" fontId="24" fillId="9" borderId="56" xfId="2" applyFont="1" applyFill="1" applyBorder="1" applyAlignment="1">
      <alignment horizontal="center" vertical="center" wrapText="1"/>
    </xf>
    <xf numFmtId="0" fontId="24" fillId="10" borderId="55" xfId="2" applyFont="1" applyFill="1" applyBorder="1" applyAlignment="1">
      <alignment horizontal="center" vertical="center"/>
    </xf>
    <xf numFmtId="3" fontId="24" fillId="10" borderId="55" xfId="2" applyNumberFormat="1" applyFont="1" applyFill="1" applyBorder="1" applyAlignment="1">
      <alignment horizontal="center" vertical="center"/>
    </xf>
    <xf numFmtId="0" fontId="24" fillId="0" borderId="55" xfId="7" applyFont="1" applyFill="1" applyBorder="1" applyAlignment="1">
      <alignment horizontal="left" vertical="center"/>
    </xf>
    <xf numFmtId="49" fontId="5" fillId="10" borderId="5" xfId="0" applyNumberFormat="1" applyFont="1" applyFill="1" applyBorder="1" applyAlignment="1">
      <alignment horizontal="center" vertical="center" wrapText="1"/>
    </xf>
    <xf numFmtId="0" fontId="5" fillId="10" borderId="5" xfId="0" applyNumberFormat="1" applyFont="1" applyFill="1" applyBorder="1" applyAlignment="1">
      <alignment horizontal="center" vertical="center" wrapText="1"/>
    </xf>
    <xf numFmtId="3" fontId="5" fillId="10" borderId="5" xfId="0" applyNumberFormat="1" applyFont="1" applyFill="1" applyBorder="1" applyAlignment="1">
      <alignment horizontal="center" vertical="center" wrapText="1"/>
    </xf>
    <xf numFmtId="49" fontId="5" fillId="10" borderId="5" xfId="0" applyNumberFormat="1" applyFont="1" applyFill="1" applyBorder="1" applyAlignment="1">
      <alignment horizontal="left" vertical="center" wrapText="1"/>
    </xf>
    <xf numFmtId="49" fontId="5" fillId="9" borderId="48" xfId="0" applyNumberFormat="1" applyFont="1" applyFill="1" applyBorder="1" applyAlignment="1">
      <alignment horizontal="left" wrapText="1"/>
    </xf>
    <xf numFmtId="1" fontId="0" fillId="0" borderId="0" xfId="0" applyNumberFormat="1"/>
    <xf numFmtId="3" fontId="5" fillId="9" borderId="5" xfId="0" applyNumberFormat="1" applyFont="1" applyFill="1" applyBorder="1" applyAlignment="1">
      <alignment horizontal="right"/>
    </xf>
    <xf numFmtId="49" fontId="5" fillId="9" borderId="55" xfId="7" applyNumberFormat="1" applyFont="1" applyFill="1" applyBorder="1" applyAlignment="1">
      <alignment horizontal="right" vertical="center" wrapText="1"/>
    </xf>
    <xf numFmtId="169" fontId="5" fillId="9" borderId="55" xfId="7" applyNumberFormat="1" applyFont="1" applyFill="1" applyBorder="1" applyAlignment="1">
      <alignment horizontal="right" vertical="center" wrapText="1"/>
    </xf>
    <xf numFmtId="3" fontId="5" fillId="9" borderId="55" xfId="7" applyNumberFormat="1" applyFont="1" applyFill="1" applyBorder="1" applyAlignment="1">
      <alignment horizontal="right" vertical="center" wrapText="1"/>
    </xf>
    <xf numFmtId="49" fontId="24" fillId="9" borderId="48" xfId="0" applyNumberFormat="1" applyFont="1" applyFill="1" applyBorder="1" applyAlignment="1">
      <alignment horizontal="left"/>
    </xf>
    <xf numFmtId="49" fontId="24" fillId="9" borderId="48" xfId="0" applyNumberFormat="1" applyFont="1" applyFill="1" applyBorder="1" applyAlignment="1">
      <alignment horizontal="center"/>
    </xf>
    <xf numFmtId="0" fontId="24" fillId="9" borderId="48" xfId="0" applyNumberFormat="1" applyFont="1" applyFill="1" applyBorder="1" applyAlignment="1">
      <alignment horizontal="center"/>
    </xf>
    <xf numFmtId="3" fontId="24" fillId="9" borderId="48" xfId="0" applyNumberFormat="1" applyFont="1" applyFill="1" applyBorder="1" applyAlignment="1">
      <alignment horizontal="center"/>
    </xf>
    <xf numFmtId="168" fontId="13" fillId="7" borderId="33" xfId="0" applyNumberFormat="1" applyFont="1" applyFill="1" applyBorder="1" applyAlignment="1">
      <alignment horizontal="center" vertical="center"/>
    </xf>
    <xf numFmtId="168" fontId="13" fillId="7" borderId="34" xfId="0" applyNumberFormat="1" applyFont="1" applyFill="1" applyBorder="1" applyAlignment="1">
      <alignment horizontal="center" vertical="center"/>
    </xf>
    <xf numFmtId="49" fontId="12" fillId="2" borderId="5" xfId="0" applyNumberFormat="1" applyFont="1" applyFill="1" applyBorder="1" applyAlignment="1">
      <alignment horizontal="right" vertical="center" wrapText="1"/>
    </xf>
    <xf numFmtId="0" fontId="0" fillId="2" borderId="1" xfId="0" applyFill="1" applyBorder="1" applyAlignment="1">
      <alignment wrapText="1"/>
    </xf>
    <xf numFmtId="0" fontId="0" fillId="2" borderId="3" xfId="0" applyFill="1" applyBorder="1" applyAlignment="1">
      <alignment wrapText="1"/>
    </xf>
    <xf numFmtId="49" fontId="5" fillId="9" borderId="5" xfId="0" applyNumberFormat="1" applyFont="1" applyFill="1" applyBorder="1" applyAlignment="1">
      <alignment horizontal="right" vertical="center" wrapText="1"/>
    </xf>
    <xf numFmtId="49" fontId="5" fillId="2" borderId="5" xfId="0" applyNumberFormat="1" applyFont="1" applyFill="1" applyBorder="1" applyAlignment="1">
      <alignment horizontal="right" vertical="center" wrapText="1"/>
    </xf>
    <xf numFmtId="17" fontId="27" fillId="0" borderId="55" xfId="1" applyNumberFormat="1" applyFont="1" applyBorder="1" applyAlignment="1">
      <alignment horizontal="right" vertical="center" wrapText="1"/>
    </xf>
    <xf numFmtId="14" fontId="3" fillId="2" borderId="8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horizontal="left" wrapText="1"/>
    </xf>
    <xf numFmtId="0" fontId="3" fillId="2" borderId="12" xfId="0" applyFont="1" applyFill="1" applyBorder="1" applyAlignment="1">
      <alignment vertical="center" wrapText="1"/>
    </xf>
    <xf numFmtId="0" fontId="24" fillId="0" borderId="55" xfId="7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wrapText="1"/>
    </xf>
    <xf numFmtId="0" fontId="8" fillId="3" borderId="13" xfId="0" applyFont="1" applyFill="1" applyBorder="1" applyAlignment="1">
      <alignment horizontal="center" vertical="center" wrapText="1"/>
    </xf>
    <xf numFmtId="49" fontId="5" fillId="9" borderId="48" xfId="0" applyNumberFormat="1" applyFont="1" applyFill="1" applyBorder="1" applyAlignment="1">
      <alignment horizontal="center" vertical="center" wrapText="1"/>
    </xf>
    <xf numFmtId="49" fontId="5" fillId="10" borderId="48" xfId="0" applyNumberFormat="1" applyFont="1" applyFill="1" applyBorder="1" applyAlignment="1">
      <alignment horizontal="center" wrapText="1"/>
    </xf>
    <xf numFmtId="49" fontId="5" fillId="2" borderId="48" xfId="0" applyNumberFormat="1" applyFont="1" applyFill="1" applyBorder="1" applyAlignment="1">
      <alignment horizontal="center" wrapText="1"/>
    </xf>
    <xf numFmtId="49" fontId="5" fillId="9" borderId="48" xfId="0" applyNumberFormat="1" applyFont="1" applyFill="1" applyBorder="1" applyAlignment="1">
      <alignment horizontal="center" wrapText="1"/>
    </xf>
    <xf numFmtId="0" fontId="9" fillId="3" borderId="48" xfId="0" applyFont="1" applyFill="1" applyBorder="1" applyAlignment="1">
      <alignment horizontal="center" vertical="center" wrapText="1"/>
    </xf>
    <xf numFmtId="0" fontId="3" fillId="2" borderId="51" xfId="0" applyFont="1" applyFill="1" applyBorder="1" applyAlignment="1">
      <alignment wrapText="1"/>
    </xf>
    <xf numFmtId="0" fontId="24" fillId="10" borderId="55" xfId="2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wrapText="1"/>
    </xf>
    <xf numFmtId="0" fontId="2" fillId="5" borderId="22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vertical="center" wrapText="1"/>
    </xf>
    <xf numFmtId="0" fontId="2" fillId="5" borderId="13" xfId="0" applyFont="1" applyFill="1" applyBorder="1" applyAlignment="1">
      <alignment vertical="center" wrapText="1"/>
    </xf>
    <xf numFmtId="0" fontId="10" fillId="5" borderId="27" xfId="0" applyFont="1" applyFill="1" applyBorder="1" applyAlignment="1">
      <alignment vertical="center" wrapText="1"/>
    </xf>
    <xf numFmtId="0" fontId="10" fillId="2" borderId="18" xfId="0" applyFont="1" applyFill="1" applyBorder="1" applyAlignment="1">
      <alignment vertical="center" wrapText="1"/>
    </xf>
    <xf numFmtId="0" fontId="15" fillId="2" borderId="39" xfId="0" applyFont="1" applyFill="1" applyBorder="1" applyAlignment="1">
      <alignment wrapText="1"/>
    </xf>
    <xf numFmtId="0" fontId="15" fillId="2" borderId="18" xfId="0" applyFont="1" applyFill="1" applyBorder="1" applyAlignment="1">
      <alignment wrapText="1"/>
    </xf>
    <xf numFmtId="0" fontId="15" fillId="2" borderId="44" xfId="0" applyFont="1" applyFill="1" applyBorder="1" applyAlignment="1">
      <alignment wrapText="1"/>
    </xf>
    <xf numFmtId="49" fontId="13" fillId="7" borderId="19" xfId="0" applyNumberFormat="1" applyFont="1" applyFill="1" applyBorder="1" applyAlignment="1">
      <alignment horizontal="center" vertical="center" wrapText="1"/>
    </xf>
    <xf numFmtId="3" fontId="13" fillId="2" borderId="5" xfId="0" applyNumberFormat="1" applyFont="1" applyFill="1" applyBorder="1" applyAlignment="1">
      <alignment vertical="center" wrapText="1"/>
    </xf>
    <xf numFmtId="168" fontId="13" fillId="2" borderId="5" xfId="0" applyNumberFormat="1" applyFont="1" applyFill="1" applyBorder="1" applyAlignment="1">
      <alignment vertical="center" wrapText="1"/>
    </xf>
    <xf numFmtId="168" fontId="13" fillId="7" borderId="33" xfId="0" applyNumberFormat="1" applyFont="1" applyFill="1" applyBorder="1" applyAlignment="1">
      <alignment vertical="center" wrapText="1"/>
    </xf>
    <xf numFmtId="3" fontId="13" fillId="7" borderId="47" xfId="0" applyNumberFormat="1" applyFont="1" applyFill="1" applyBorder="1" applyAlignment="1">
      <alignment vertical="center" wrapText="1"/>
    </xf>
    <xf numFmtId="168" fontId="13" fillId="7" borderId="33" xfId="0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wrapText="1"/>
    </xf>
    <xf numFmtId="0" fontId="30" fillId="9" borderId="48" xfId="5" applyFont="1" applyFill="1" applyBorder="1" applyAlignment="1">
      <alignment horizontal="left" vertical="center"/>
    </xf>
    <xf numFmtId="0" fontId="31" fillId="9" borderId="48" xfId="5" applyFont="1" applyFill="1" applyBorder="1" applyAlignment="1">
      <alignment horizontal="center" vertical="center"/>
    </xf>
    <xf numFmtId="3" fontId="30" fillId="9" borderId="48" xfId="5" applyNumberFormat="1" applyFont="1" applyFill="1" applyBorder="1" applyAlignment="1">
      <alignment horizontal="center" vertical="center" wrapText="1"/>
    </xf>
    <xf numFmtId="0" fontId="30" fillId="9" borderId="48" xfId="5" applyFont="1" applyFill="1" applyBorder="1" applyAlignment="1">
      <alignment horizontal="center" vertical="center"/>
    </xf>
    <xf numFmtId="3" fontId="31" fillId="9" borderId="48" xfId="5" applyNumberFormat="1" applyFont="1" applyFill="1" applyBorder="1" applyAlignment="1">
      <alignment horizontal="center"/>
    </xf>
    <xf numFmtId="0" fontId="27" fillId="9" borderId="48" xfId="5" applyFont="1" applyFill="1" applyBorder="1" applyAlignment="1">
      <alignment horizontal="left" vertical="center"/>
    </xf>
    <xf numFmtId="0" fontId="24" fillId="9" borderId="48" xfId="5" applyFont="1" applyFill="1" applyBorder="1" applyAlignment="1">
      <alignment horizontal="center" vertical="center"/>
    </xf>
    <xf numFmtId="3" fontId="27" fillId="9" borderId="48" xfId="5" applyNumberFormat="1" applyFont="1" applyFill="1" applyBorder="1" applyAlignment="1">
      <alignment horizontal="center" vertical="center" wrapText="1"/>
    </xf>
    <xf numFmtId="0" fontId="27" fillId="9" borderId="48" xfId="5" applyFont="1" applyFill="1" applyBorder="1" applyAlignment="1">
      <alignment horizontal="center" vertical="center"/>
    </xf>
    <xf numFmtId="3" fontId="24" fillId="9" borderId="48" xfId="5" applyNumberFormat="1" applyFont="1" applyFill="1" applyBorder="1" applyAlignment="1">
      <alignment horizontal="center"/>
    </xf>
    <xf numFmtId="3" fontId="27" fillId="9" borderId="48" xfId="5" applyNumberFormat="1" applyFont="1" applyFill="1" applyBorder="1" applyAlignment="1">
      <alignment horizontal="center"/>
    </xf>
    <xf numFmtId="49" fontId="24" fillId="10" borderId="48" xfId="0" applyNumberFormat="1" applyFont="1" applyFill="1" applyBorder="1" applyAlignment="1">
      <alignment horizontal="left"/>
    </xf>
    <xf numFmtId="49" fontId="15" fillId="9" borderId="18" xfId="0" applyNumberFormat="1" applyFont="1" applyFill="1" applyBorder="1"/>
    <xf numFmtId="3" fontId="15" fillId="9" borderId="18" xfId="0" applyNumberFormat="1" applyFont="1" applyFill="1" applyBorder="1"/>
    <xf numFmtId="49" fontId="13" fillId="9" borderId="18" xfId="0" applyNumberFormat="1" applyFont="1" applyFill="1" applyBorder="1" applyAlignment="1">
      <alignment vertical="center"/>
    </xf>
    <xf numFmtId="168" fontId="13" fillId="9" borderId="18" xfId="0" applyNumberFormat="1" applyFont="1" applyFill="1" applyBorder="1" applyAlignment="1">
      <alignment vertical="center" wrapText="1"/>
    </xf>
    <xf numFmtId="168" fontId="0" fillId="0" borderId="0" xfId="0" applyNumberFormat="1" applyAlignment="1">
      <alignment wrapText="1"/>
    </xf>
    <xf numFmtId="3" fontId="32" fillId="9" borderId="48" xfId="2" applyNumberFormat="1" applyFont="1" applyFill="1" applyBorder="1" applyAlignment="1">
      <alignment horizontal="center" vertical="center"/>
    </xf>
    <xf numFmtId="49" fontId="24" fillId="10" borderId="48" xfId="0" applyNumberFormat="1" applyFont="1" applyFill="1" applyBorder="1" applyAlignment="1">
      <alignment horizontal="left" vertical="center" wrapText="1"/>
    </xf>
    <xf numFmtId="49" fontId="24" fillId="10" borderId="48" xfId="0" applyNumberFormat="1" applyFont="1" applyFill="1" applyBorder="1" applyAlignment="1">
      <alignment horizontal="center" wrapText="1"/>
    </xf>
    <xf numFmtId="1" fontId="24" fillId="10" borderId="48" xfId="0" applyNumberFormat="1" applyFont="1" applyFill="1" applyBorder="1" applyAlignment="1">
      <alignment horizontal="center"/>
    </xf>
    <xf numFmtId="49" fontId="24" fillId="9" borderId="5" xfId="0" applyNumberFormat="1" applyFont="1" applyFill="1" applyBorder="1" applyAlignment="1">
      <alignment wrapText="1"/>
    </xf>
    <xf numFmtId="49" fontId="24" fillId="9" borderId="5" xfId="0" applyNumberFormat="1" applyFont="1" applyFill="1" applyBorder="1" applyAlignment="1">
      <alignment horizontal="center" wrapText="1"/>
    </xf>
    <xf numFmtId="0" fontId="24" fillId="9" borderId="5" xfId="0" applyNumberFormat="1" applyFont="1" applyFill="1" applyBorder="1" applyAlignment="1">
      <alignment horizontal="center" wrapText="1"/>
    </xf>
    <xf numFmtId="3" fontId="24" fillId="9" borderId="5" xfId="0" applyNumberFormat="1" applyFont="1" applyFill="1" applyBorder="1" applyAlignment="1">
      <alignment horizontal="center" wrapText="1"/>
    </xf>
    <xf numFmtId="49" fontId="23" fillId="9" borderId="5" xfId="0" applyNumberFormat="1" applyFont="1" applyFill="1" applyBorder="1" applyAlignment="1">
      <alignment wrapText="1"/>
    </xf>
    <xf numFmtId="49" fontId="24" fillId="9" borderId="5" xfId="0" applyNumberFormat="1" applyFont="1" applyFill="1" applyBorder="1" applyAlignment="1">
      <alignment horizontal="left" vertical="center" wrapText="1"/>
    </xf>
    <xf numFmtId="49" fontId="24" fillId="9" borderId="5" xfId="0" applyNumberFormat="1" applyFont="1" applyFill="1" applyBorder="1" applyAlignment="1">
      <alignment horizontal="center" vertical="center" wrapText="1"/>
    </xf>
    <xf numFmtId="0" fontId="24" fillId="9" borderId="5" xfId="0" applyNumberFormat="1" applyFont="1" applyFill="1" applyBorder="1" applyAlignment="1">
      <alignment horizontal="center" vertical="center" wrapText="1"/>
    </xf>
    <xf numFmtId="3" fontId="24" fillId="9" borderId="5" xfId="0" applyNumberFormat="1" applyFont="1" applyFill="1" applyBorder="1" applyAlignment="1">
      <alignment horizontal="center" vertical="center" wrapText="1"/>
    </xf>
    <xf numFmtId="49" fontId="5" fillId="9" borderId="48" xfId="0" applyNumberFormat="1" applyFont="1" applyFill="1" applyBorder="1" applyAlignment="1">
      <alignment horizontal="left" vertical="center" wrapText="1"/>
    </xf>
    <xf numFmtId="49" fontId="24" fillId="9" borderId="48" xfId="0" applyNumberFormat="1" applyFont="1" applyFill="1" applyBorder="1" applyAlignment="1">
      <alignment horizontal="left" wrapText="1"/>
    </xf>
    <xf numFmtId="49" fontId="24" fillId="9" borderId="48" xfId="0" applyNumberFormat="1" applyFont="1" applyFill="1" applyBorder="1" applyAlignment="1">
      <alignment horizontal="center" vertical="center" wrapText="1"/>
    </xf>
    <xf numFmtId="0" fontId="24" fillId="9" borderId="48" xfId="0" applyNumberFormat="1" applyFont="1" applyFill="1" applyBorder="1" applyAlignment="1">
      <alignment horizontal="center" vertical="center"/>
    </xf>
    <xf numFmtId="49" fontId="24" fillId="9" borderId="48" xfId="0" applyNumberFormat="1" applyFont="1" applyFill="1" applyBorder="1" applyAlignment="1">
      <alignment horizontal="center" vertical="center"/>
    </xf>
    <xf numFmtId="3" fontId="24" fillId="9" borderId="48" xfId="0" applyNumberFormat="1" applyFont="1" applyFill="1" applyBorder="1" applyAlignment="1">
      <alignment horizontal="center" vertical="center"/>
    </xf>
    <xf numFmtId="49" fontId="5" fillId="9" borderId="48" xfId="0" applyNumberFormat="1" applyFont="1" applyFill="1" applyBorder="1" applyAlignment="1">
      <alignment horizontal="left"/>
    </xf>
    <xf numFmtId="0" fontId="32" fillId="9" borderId="48" xfId="2" applyFont="1" applyFill="1" applyBorder="1" applyAlignment="1">
      <alignment horizontal="center" vertical="center"/>
    </xf>
    <xf numFmtId="49" fontId="23" fillId="9" borderId="48" xfId="0" applyNumberFormat="1" applyFont="1" applyFill="1" applyBorder="1" applyAlignment="1">
      <alignment horizontal="left"/>
    </xf>
    <xf numFmtId="49" fontId="24" fillId="9" borderId="48" xfId="0" applyNumberFormat="1" applyFont="1" applyFill="1" applyBorder="1" applyAlignment="1">
      <alignment horizontal="center" wrapText="1"/>
    </xf>
    <xf numFmtId="0" fontId="24" fillId="9" borderId="48" xfId="0" applyFont="1" applyFill="1" applyBorder="1" applyAlignment="1">
      <alignment horizontal="center"/>
    </xf>
    <xf numFmtId="49" fontId="33" fillId="9" borderId="48" xfId="9" applyNumberFormat="1" applyFont="1" applyFill="1" applyBorder="1" applyAlignment="1">
      <alignment horizontal="center" vertical="center" wrapText="1"/>
    </xf>
    <xf numFmtId="49" fontId="34" fillId="2" borderId="48" xfId="9" applyNumberFormat="1" applyFont="1" applyFill="1" applyBorder="1" applyAlignment="1">
      <alignment horizontal="center" vertical="center" wrapText="1"/>
    </xf>
    <xf numFmtId="0" fontId="35" fillId="0" borderId="18" xfId="9" applyNumberFormat="1" applyFont="1"/>
    <xf numFmtId="0" fontId="35" fillId="0" borderId="18" xfId="9" applyFont="1"/>
    <xf numFmtId="165" fontId="34" fillId="10" borderId="48" xfId="10" applyFont="1" applyFill="1" applyBorder="1" applyAlignment="1">
      <alignment horizontal="center" vertical="center"/>
    </xf>
    <xf numFmtId="0" fontId="36" fillId="0" borderId="18" xfId="9" applyNumberFormat="1" applyFont="1"/>
    <xf numFmtId="0" fontId="35" fillId="0" borderId="18" xfId="9" applyNumberFormat="1" applyFont="1" applyAlignment="1">
      <alignment horizontal="right"/>
    </xf>
    <xf numFmtId="49" fontId="33" fillId="9" borderId="48" xfId="9" applyNumberFormat="1" applyFont="1" applyFill="1" applyBorder="1" applyAlignment="1">
      <alignment horizontal="center" vertical="center"/>
    </xf>
    <xf numFmtId="165" fontId="34" fillId="10" borderId="48" xfId="10" applyFont="1" applyFill="1" applyBorder="1" applyAlignment="1">
      <alignment horizontal="center" vertical="center" wrapText="1"/>
    </xf>
    <xf numFmtId="0" fontId="35" fillId="0" borderId="18" xfId="9" applyFont="1" applyBorder="1"/>
    <xf numFmtId="0" fontId="36" fillId="0" borderId="18" xfId="9" applyNumberFormat="1" applyFont="1" applyBorder="1"/>
    <xf numFmtId="0" fontId="35" fillId="0" borderId="18" xfId="9" applyNumberFormat="1" applyFont="1" applyBorder="1"/>
    <xf numFmtId="0" fontId="35" fillId="0" borderId="18" xfId="9" applyNumberFormat="1" applyFont="1" applyBorder="1" applyAlignment="1">
      <alignment horizontal="right"/>
    </xf>
    <xf numFmtId="49" fontId="35" fillId="2" borderId="18" xfId="9" applyNumberFormat="1" applyFont="1" applyFill="1" applyBorder="1" applyAlignment="1">
      <alignment horizontal="center" vertical="center"/>
    </xf>
    <xf numFmtId="164" fontId="35" fillId="10" borderId="18" xfId="11" applyFont="1" applyFill="1" applyBorder="1" applyAlignment="1">
      <alignment horizontal="center" vertical="center" wrapText="1"/>
    </xf>
    <xf numFmtId="0" fontId="35" fillId="0" borderId="58" xfId="9" applyFont="1" applyBorder="1" applyAlignment="1">
      <alignment horizontal="center" wrapText="1"/>
    </xf>
    <xf numFmtId="3" fontId="35" fillId="0" borderId="59" xfId="9" applyNumberFormat="1" applyFont="1" applyBorder="1"/>
    <xf numFmtId="49" fontId="35" fillId="2" borderId="62" xfId="9" applyNumberFormat="1" applyFont="1" applyFill="1" applyBorder="1" applyAlignment="1">
      <alignment horizontal="center" vertical="center" wrapText="1"/>
    </xf>
    <xf numFmtId="164" fontId="35" fillId="0" borderId="63" xfId="11" applyFont="1" applyBorder="1" applyAlignment="1">
      <alignment horizontal="center" vertical="center"/>
    </xf>
    <xf numFmtId="49" fontId="37" fillId="10" borderId="48" xfId="9" applyNumberFormat="1" applyFont="1" applyFill="1" applyBorder="1" applyAlignment="1">
      <alignment horizontal="center" vertical="center" wrapText="1"/>
    </xf>
    <xf numFmtId="164" fontId="35" fillId="0" borderId="65" xfId="11" applyFont="1" applyBorder="1" applyAlignment="1">
      <alignment horizontal="center" vertical="center"/>
    </xf>
    <xf numFmtId="49" fontId="37" fillId="10" borderId="67" xfId="9" applyNumberFormat="1" applyFont="1" applyFill="1" applyBorder="1" applyAlignment="1">
      <alignment horizontal="center" vertical="center" wrapText="1"/>
    </xf>
    <xf numFmtId="164" fontId="35" fillId="0" borderId="68" xfId="11" applyFont="1" applyBorder="1" applyAlignment="1">
      <alignment horizontal="center" vertical="center"/>
    </xf>
    <xf numFmtId="0" fontId="36" fillId="12" borderId="70" xfId="9" applyNumberFormat="1" applyFont="1" applyFill="1" applyBorder="1" applyAlignment="1">
      <alignment horizontal="center" vertical="center"/>
    </xf>
    <xf numFmtId="49" fontId="37" fillId="9" borderId="71" xfId="9" applyNumberFormat="1" applyFont="1" applyFill="1" applyBorder="1" applyAlignment="1">
      <alignment horizontal="center" vertical="center"/>
    </xf>
    <xf numFmtId="164" fontId="35" fillId="0" borderId="72" xfId="11" applyFont="1" applyBorder="1" applyAlignment="1">
      <alignment horizontal="center" vertical="center"/>
    </xf>
    <xf numFmtId="164" fontId="36" fillId="0" borderId="73" xfId="11" applyFont="1" applyBorder="1" applyAlignment="1">
      <alignment horizontal="center" vertical="center"/>
    </xf>
    <xf numFmtId="49" fontId="35" fillId="2" borderId="58" xfId="9" applyNumberFormat="1" applyFont="1" applyFill="1" applyBorder="1" applyAlignment="1">
      <alignment horizontal="center" vertical="center" wrapText="1"/>
    </xf>
    <xf numFmtId="164" fontId="35" fillId="0" borderId="59" xfId="11" applyFont="1" applyBorder="1" applyAlignment="1">
      <alignment horizontal="center" vertical="center"/>
    </xf>
    <xf numFmtId="49" fontId="35" fillId="2" borderId="48" xfId="9" applyNumberFormat="1" applyFont="1" applyFill="1" applyBorder="1" applyAlignment="1">
      <alignment horizontal="center" vertical="center" wrapText="1"/>
    </xf>
    <xf numFmtId="49" fontId="35" fillId="9" borderId="48" xfId="9" applyNumberFormat="1" applyFont="1" applyFill="1" applyBorder="1" applyAlignment="1">
      <alignment horizontal="center" vertical="center"/>
    </xf>
    <xf numFmtId="164" fontId="35" fillId="0" borderId="18" xfId="9" applyNumberFormat="1" applyFont="1"/>
    <xf numFmtId="0" fontId="35" fillId="0" borderId="18" xfId="9" applyNumberFormat="1" applyFont="1" applyBorder="1" applyAlignment="1">
      <alignment horizontal="center"/>
    </xf>
    <xf numFmtId="0" fontId="35" fillId="0" borderId="48" xfId="9" applyNumberFormat="1" applyFont="1" applyBorder="1" applyAlignment="1">
      <alignment horizontal="center" vertical="center"/>
    </xf>
    <xf numFmtId="3" fontId="35" fillId="0" borderId="18" xfId="9" applyNumberFormat="1" applyFont="1" applyAlignment="1">
      <alignment horizontal="center" vertical="center"/>
    </xf>
    <xf numFmtId="49" fontId="37" fillId="9" borderId="48" xfId="9" applyNumberFormat="1" applyFont="1" applyFill="1" applyBorder="1" applyAlignment="1">
      <alignment horizontal="center" vertical="center"/>
    </xf>
    <xf numFmtId="0" fontId="35" fillId="0" borderId="44" xfId="9" applyNumberFormat="1" applyFont="1" applyBorder="1" applyAlignment="1">
      <alignment horizontal="center"/>
    </xf>
    <xf numFmtId="0" fontId="36" fillId="13" borderId="70" xfId="9" applyNumberFormat="1" applyFont="1" applyFill="1" applyBorder="1" applyAlignment="1">
      <alignment horizontal="center" vertical="center"/>
    </xf>
    <xf numFmtId="49" fontId="35" fillId="9" borderId="71" xfId="9" applyNumberFormat="1" applyFont="1" applyFill="1" applyBorder="1" applyAlignment="1">
      <alignment horizontal="center" vertical="center"/>
    </xf>
    <xf numFmtId="164" fontId="35" fillId="9" borderId="72" xfId="11" applyFont="1" applyFill="1" applyBorder="1" applyAlignment="1">
      <alignment horizontal="center" vertical="center"/>
    </xf>
    <xf numFmtId="164" fontId="36" fillId="9" borderId="73" xfId="11" applyFont="1" applyFill="1" applyBorder="1" applyAlignment="1">
      <alignment horizontal="center" vertical="center"/>
    </xf>
    <xf numFmtId="0" fontId="35" fillId="0" borderId="18" xfId="9" applyNumberFormat="1" applyFont="1" applyAlignment="1">
      <alignment horizontal="center"/>
    </xf>
    <xf numFmtId="164" fontId="36" fillId="0" borderId="18" xfId="11" applyFont="1" applyAlignment="1">
      <alignment horizontal="center" vertical="center"/>
    </xf>
    <xf numFmtId="49" fontId="37" fillId="9" borderId="57" xfId="9" applyNumberFormat="1" applyFont="1" applyFill="1" applyBorder="1" applyAlignment="1">
      <alignment horizontal="center" vertical="center"/>
    </xf>
    <xf numFmtId="164" fontId="37" fillId="9" borderId="74" xfId="9" applyNumberFormat="1" applyFont="1" applyFill="1" applyBorder="1" applyAlignment="1">
      <alignment vertical="center"/>
    </xf>
    <xf numFmtId="49" fontId="37" fillId="9" borderId="61" xfId="9" applyNumberFormat="1" applyFont="1" applyFill="1" applyBorder="1" applyAlignment="1">
      <alignment horizontal="center" vertical="center"/>
    </xf>
    <xf numFmtId="164" fontId="37" fillId="9" borderId="75" xfId="11" applyFont="1" applyFill="1" applyBorder="1" applyAlignment="1">
      <alignment vertical="center"/>
    </xf>
    <xf numFmtId="49" fontId="37" fillId="9" borderId="66" xfId="9" applyNumberFormat="1" applyFont="1" applyFill="1" applyBorder="1" applyAlignment="1">
      <alignment horizontal="center" vertical="center"/>
    </xf>
    <xf numFmtId="164" fontId="37" fillId="9" borderId="76" xfId="11" applyFont="1" applyFill="1" applyBorder="1" applyAlignment="1">
      <alignment vertical="center"/>
    </xf>
    <xf numFmtId="0" fontId="35" fillId="0" borderId="18" xfId="9" applyNumberFormat="1" applyFont="1" applyAlignment="1">
      <alignment horizontal="center" vertical="center"/>
    </xf>
    <xf numFmtId="0" fontId="36" fillId="0" borderId="18" xfId="9" applyNumberFormat="1" applyFont="1" applyAlignment="1">
      <alignment horizontal="center" vertical="center"/>
    </xf>
    <xf numFmtId="49" fontId="5" fillId="9" borderId="5" xfId="0" applyNumberFormat="1" applyFont="1" applyFill="1" applyBorder="1" applyAlignment="1">
      <alignment horizontal="left" vertical="center" wrapText="1"/>
    </xf>
    <xf numFmtId="1" fontId="24" fillId="9" borderId="55" xfId="7" applyNumberFormat="1" applyFont="1" applyFill="1" applyBorder="1" applyAlignment="1">
      <alignment horizontal="center" vertical="center"/>
    </xf>
    <xf numFmtId="1" fontId="24" fillId="9" borderId="5" xfId="0" applyNumberFormat="1" applyFont="1" applyFill="1" applyBorder="1" applyAlignment="1">
      <alignment horizontal="center" vertical="center" wrapText="1"/>
    </xf>
    <xf numFmtId="170" fontId="24" fillId="9" borderId="48" xfId="0" applyNumberFormat="1" applyFont="1" applyFill="1" applyBorder="1" applyAlignment="1">
      <alignment horizontal="center"/>
    </xf>
    <xf numFmtId="0" fontId="24" fillId="9" borderId="48" xfId="2" applyFont="1" applyFill="1" applyBorder="1" applyAlignment="1">
      <alignment vertical="center" wrapText="1"/>
    </xf>
    <xf numFmtId="0" fontId="24" fillId="9" borderId="48" xfId="2" applyFont="1" applyFill="1" applyBorder="1" applyAlignment="1">
      <alignment horizontal="center" vertical="center" wrapText="1"/>
    </xf>
    <xf numFmtId="3" fontId="24" fillId="9" borderId="48" xfId="2" applyNumberFormat="1" applyFont="1" applyFill="1" applyBorder="1" applyAlignment="1">
      <alignment horizontal="center" vertical="center"/>
    </xf>
    <xf numFmtId="0" fontId="24" fillId="9" borderId="48" xfId="2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66" fontId="0" fillId="0" borderId="0" xfId="0" applyNumberFormat="1"/>
    <xf numFmtId="171" fontId="5" fillId="9" borderId="55" xfId="7" applyNumberFormat="1" applyFont="1" applyFill="1" applyBorder="1" applyAlignment="1">
      <alignment horizontal="right" vertical="center" wrapText="1"/>
    </xf>
    <xf numFmtId="49" fontId="4" fillId="3" borderId="5" xfId="0" applyNumberFormat="1" applyFont="1" applyFill="1" applyBorder="1" applyAlignment="1">
      <alignment wrapText="1"/>
    </xf>
    <xf numFmtId="0" fontId="4" fillId="4" borderId="5" xfId="0" applyFont="1" applyFill="1" applyBorder="1" applyAlignment="1">
      <alignment wrapText="1"/>
    </xf>
    <xf numFmtId="49" fontId="5" fillId="2" borderId="5" xfId="0" applyNumberFormat="1" applyFont="1" applyFill="1" applyBorder="1" applyAlignment="1">
      <alignment wrapText="1"/>
    </xf>
    <xf numFmtId="0" fontId="5" fillId="2" borderId="5" xfId="0" applyFont="1" applyFill="1" applyBorder="1" applyAlignment="1">
      <alignment wrapText="1"/>
    </xf>
    <xf numFmtId="49" fontId="5" fillId="2" borderId="5" xfId="0" applyNumberFormat="1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49" fontId="7" fillId="3" borderId="5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49" fontId="18" fillId="8" borderId="52" xfId="0" applyNumberFormat="1" applyFont="1" applyFill="1" applyBorder="1" applyAlignment="1">
      <alignment horizontal="center" vertical="center"/>
    </xf>
    <xf numFmtId="49" fontId="18" fillId="8" borderId="53" xfId="0" applyNumberFormat="1" applyFont="1" applyFill="1" applyBorder="1" applyAlignment="1">
      <alignment horizontal="center" vertical="center"/>
    </xf>
    <xf numFmtId="49" fontId="18" fillId="8" borderId="54" xfId="0" applyNumberFormat="1" applyFont="1" applyFill="1" applyBorder="1" applyAlignment="1">
      <alignment horizontal="center" vertical="center"/>
    </xf>
    <xf numFmtId="49" fontId="18" fillId="8" borderId="35" xfId="0" applyNumberFormat="1" applyFont="1" applyFill="1" applyBorder="1" applyAlignment="1">
      <alignment vertical="center"/>
    </xf>
    <xf numFmtId="0" fontId="13" fillId="8" borderId="36" xfId="0" applyFont="1" applyFill="1" applyBorder="1" applyAlignment="1">
      <alignment vertical="center"/>
    </xf>
    <xf numFmtId="49" fontId="18" fillId="9" borderId="18" xfId="0" applyNumberFormat="1" applyFont="1" applyFill="1" applyBorder="1" applyAlignment="1">
      <alignment horizontal="center" vertical="center"/>
    </xf>
    <xf numFmtId="0" fontId="13" fillId="9" borderId="18" xfId="0" applyFont="1" applyFill="1" applyBorder="1" applyAlignment="1">
      <alignment horizontal="center" vertical="center"/>
    </xf>
    <xf numFmtId="0" fontId="36" fillId="11" borderId="57" xfId="9" applyNumberFormat="1" applyFont="1" applyFill="1" applyBorder="1" applyAlignment="1">
      <alignment horizontal="center" vertical="center" wrapText="1"/>
    </xf>
    <xf numFmtId="0" fontId="36" fillId="11" borderId="61" xfId="9" applyNumberFormat="1" applyFont="1" applyFill="1" applyBorder="1" applyAlignment="1">
      <alignment horizontal="center" vertical="center" wrapText="1"/>
    </xf>
    <xf numFmtId="0" fontId="36" fillId="11" borderId="66" xfId="9" applyNumberFormat="1" applyFont="1" applyFill="1" applyBorder="1" applyAlignment="1">
      <alignment horizontal="center" vertical="center" wrapText="1"/>
    </xf>
    <xf numFmtId="164" fontId="36" fillId="0" borderId="60" xfId="9" applyNumberFormat="1" applyFont="1" applyBorder="1" applyAlignment="1">
      <alignment horizontal="center" vertical="center"/>
    </xf>
    <xf numFmtId="164" fontId="36" fillId="0" borderId="64" xfId="9" applyNumberFormat="1" applyFont="1" applyBorder="1" applyAlignment="1">
      <alignment horizontal="center" vertical="center"/>
    </xf>
    <xf numFmtId="164" fontId="36" fillId="0" borderId="69" xfId="9" applyNumberFormat="1" applyFont="1" applyBorder="1" applyAlignment="1">
      <alignment horizontal="center" vertical="center"/>
    </xf>
    <xf numFmtId="0" fontId="36" fillId="8" borderId="57" xfId="9" applyNumberFormat="1" applyFont="1" applyFill="1" applyBorder="1" applyAlignment="1">
      <alignment horizontal="center" vertical="center"/>
    </xf>
    <xf numFmtId="0" fontId="36" fillId="8" borderId="61" xfId="9" applyNumberFormat="1" applyFont="1" applyFill="1" applyBorder="1" applyAlignment="1">
      <alignment horizontal="center" vertical="center"/>
    </xf>
    <xf numFmtId="0" fontId="36" fillId="8" borderId="66" xfId="9" applyNumberFormat="1" applyFont="1" applyFill="1" applyBorder="1" applyAlignment="1">
      <alignment horizontal="center" vertical="center"/>
    </xf>
    <xf numFmtId="164" fontId="36" fillId="0" borderId="60" xfId="11" applyFont="1" applyBorder="1" applyAlignment="1">
      <alignment horizontal="center" vertical="center"/>
    </xf>
    <xf numFmtId="164" fontId="36" fillId="0" borderId="64" xfId="11" applyFont="1" applyBorder="1" applyAlignment="1">
      <alignment horizontal="center" vertical="center"/>
    </xf>
    <xf numFmtId="164" fontId="36" fillId="0" borderId="69" xfId="11" applyFont="1" applyBorder="1" applyAlignment="1">
      <alignment horizontal="center" vertical="center"/>
    </xf>
  </cellXfs>
  <cellStyles count="12">
    <cellStyle name="Millares [0] 2" xfId="3"/>
    <cellStyle name="Millares [0] 3" xfId="10"/>
    <cellStyle name="Millares 2" xfId="6"/>
    <cellStyle name="Moneda [0] 2" xfId="11"/>
    <cellStyle name="Normal" xfId="0" builtinId="0"/>
    <cellStyle name="Normal 2" xfId="1"/>
    <cellStyle name="Normal 3" xfId="2"/>
    <cellStyle name="Normal 4" xfId="5"/>
    <cellStyle name="Normal 5" xfId="7"/>
    <cellStyle name="Normal 6" xfId="9"/>
    <cellStyle name="Porcentaje 2" xfId="4"/>
    <cellStyle name="Porcentaje 3" xfId="8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123825</xdr:rowOff>
    </xdr:from>
    <xdr:to>
      <xdr:col>6</xdr:col>
      <xdr:colOff>691251</xdr:colOff>
      <xdr:row>6</xdr:row>
      <xdr:rowOff>155909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099" y="123825"/>
          <a:ext cx="6924675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123825</xdr:rowOff>
    </xdr:from>
    <xdr:to>
      <xdr:col>6</xdr:col>
      <xdr:colOff>691251</xdr:colOff>
      <xdr:row>6</xdr:row>
      <xdr:rowOff>155909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5840589-941D-44FD-86FF-FA17973BD9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3825"/>
          <a:ext cx="6930126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K148"/>
  <sheetViews>
    <sheetView showGridLines="0" tabSelected="1" view="pageBreakPreview" topLeftCell="B1" zoomScaleNormal="100" zoomScaleSheetLayoutView="100" workbookViewId="0">
      <selection activeCell="J22" sqref="J22"/>
    </sheetView>
  </sheetViews>
  <sheetFormatPr baseColWidth="10" defaultColWidth="10.85546875" defaultRowHeight="11.25" customHeight="1"/>
  <cols>
    <col min="1" max="1" width="0" hidden="1" customWidth="1"/>
    <col min="2" max="2" width="21.28515625" style="1" customWidth="1"/>
    <col min="3" max="3" width="24.28515625" style="235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104" customWidth="1"/>
    <col min="8" max="245" width="10.85546875" style="1" customWidth="1"/>
  </cols>
  <sheetData>
    <row r="1" spans="2:7" ht="15" customHeight="1">
      <c r="B1" s="2"/>
      <c r="C1" s="196"/>
      <c r="D1" s="2"/>
      <c r="E1" s="2"/>
      <c r="F1" s="2"/>
      <c r="G1" s="91"/>
    </row>
    <row r="2" spans="2:7" ht="15" customHeight="1">
      <c r="B2" s="2"/>
      <c r="C2" s="196"/>
      <c r="D2" s="2"/>
      <c r="E2" s="2"/>
      <c r="F2" s="2"/>
      <c r="G2" s="91"/>
    </row>
    <row r="3" spans="2:7" ht="15" customHeight="1">
      <c r="B3" s="2"/>
      <c r="C3" s="196"/>
      <c r="D3" s="2"/>
      <c r="E3" s="2"/>
      <c r="F3" s="2"/>
      <c r="G3" s="91"/>
    </row>
    <row r="4" spans="2:7" ht="15" customHeight="1">
      <c r="B4" s="2"/>
      <c r="C4" s="196"/>
      <c r="D4" s="2"/>
      <c r="E4" s="2"/>
      <c r="F4" s="2"/>
      <c r="G4" s="91"/>
    </row>
    <row r="5" spans="2:7" ht="15" customHeight="1">
      <c r="B5" s="2"/>
      <c r="C5" s="196"/>
      <c r="D5" s="2"/>
      <c r="E5" s="2"/>
      <c r="F5" s="2"/>
      <c r="G5" s="91"/>
    </row>
    <row r="6" spans="2:7" ht="15" customHeight="1">
      <c r="B6" s="2"/>
      <c r="C6" s="196"/>
      <c r="D6" s="2"/>
      <c r="E6" s="2"/>
      <c r="F6" s="2"/>
      <c r="G6" s="91"/>
    </row>
    <row r="7" spans="2:7" ht="15" customHeight="1">
      <c r="B7" s="2"/>
      <c r="C7" s="196"/>
      <c r="D7" s="2"/>
      <c r="E7" s="2"/>
      <c r="F7" s="2"/>
      <c r="G7" s="91"/>
    </row>
    <row r="8" spans="2:7" ht="15" customHeight="1">
      <c r="B8" s="3"/>
      <c r="C8" s="197"/>
      <c r="D8" s="2"/>
      <c r="E8" s="4"/>
      <c r="F8" s="4"/>
      <c r="G8" s="92"/>
    </row>
    <row r="9" spans="2:7" ht="12" customHeight="1">
      <c r="B9" s="5" t="s">
        <v>0</v>
      </c>
      <c r="C9" s="195" t="s">
        <v>140</v>
      </c>
      <c r="D9" s="6"/>
      <c r="E9" s="339" t="s">
        <v>142</v>
      </c>
      <c r="F9" s="340"/>
      <c r="G9" s="185">
        <v>85000</v>
      </c>
    </row>
    <row r="10" spans="2:7" ht="18" customHeight="1">
      <c r="B10" s="7" t="s">
        <v>1</v>
      </c>
      <c r="C10" s="198" t="s">
        <v>141</v>
      </c>
      <c r="D10" s="8"/>
      <c r="E10" s="341" t="s">
        <v>2</v>
      </c>
      <c r="F10" s="342"/>
      <c r="G10" s="186" t="s">
        <v>143</v>
      </c>
    </row>
    <row r="11" spans="2:7" ht="18" customHeight="1">
      <c r="B11" s="7" t="s">
        <v>3</v>
      </c>
      <c r="C11" s="127" t="s">
        <v>96</v>
      </c>
      <c r="D11" s="8"/>
      <c r="E11" s="341" t="s">
        <v>148</v>
      </c>
      <c r="F11" s="342"/>
      <c r="G11" s="338">
        <v>1000</v>
      </c>
    </row>
    <row r="12" spans="2:7" ht="11.25" customHeight="1">
      <c r="B12" s="7" t="s">
        <v>4</v>
      </c>
      <c r="C12" s="199" t="s">
        <v>60</v>
      </c>
      <c r="D12" s="8"/>
      <c r="E12" s="10" t="s">
        <v>5</v>
      </c>
      <c r="F12" s="11"/>
      <c r="G12" s="188">
        <f>G9*G11</f>
        <v>85000000</v>
      </c>
    </row>
    <row r="13" spans="2:7" ht="11.25" customHeight="1">
      <c r="B13" s="7" t="s">
        <v>6</v>
      </c>
      <c r="C13" s="199" t="s">
        <v>193</v>
      </c>
      <c r="D13" s="8"/>
      <c r="E13" s="341" t="s">
        <v>7</v>
      </c>
      <c r="F13" s="342"/>
      <c r="G13" s="186" t="s">
        <v>144</v>
      </c>
    </row>
    <row r="14" spans="2:7" ht="13.5" customHeight="1">
      <c r="B14" s="7" t="s">
        <v>8</v>
      </c>
      <c r="C14" s="199" t="s">
        <v>193</v>
      </c>
      <c r="D14" s="8"/>
      <c r="E14" s="341" t="s">
        <v>9</v>
      </c>
      <c r="F14" s="342"/>
      <c r="G14" s="127" t="s">
        <v>143</v>
      </c>
    </row>
    <row r="15" spans="2:7" ht="25.5" customHeight="1">
      <c r="B15" s="7" t="s">
        <v>10</v>
      </c>
      <c r="C15" s="200">
        <v>44958</v>
      </c>
      <c r="D15" s="8"/>
      <c r="E15" s="343" t="s">
        <v>11</v>
      </c>
      <c r="F15" s="344"/>
      <c r="G15" s="127" t="s">
        <v>127</v>
      </c>
    </row>
    <row r="16" spans="2:7" ht="12" customHeight="1">
      <c r="B16" s="12"/>
      <c r="C16" s="201"/>
      <c r="D16" s="13"/>
      <c r="E16" s="14"/>
      <c r="F16" s="14"/>
      <c r="G16" s="93"/>
    </row>
    <row r="17" spans="2:7" ht="12" customHeight="1">
      <c r="B17" s="345" t="s">
        <v>12</v>
      </c>
      <c r="C17" s="346"/>
      <c r="D17" s="346"/>
      <c r="E17" s="346"/>
      <c r="F17" s="346"/>
      <c r="G17" s="346"/>
    </row>
    <row r="18" spans="2:7" ht="12" customHeight="1">
      <c r="B18" s="15"/>
      <c r="C18" s="202"/>
      <c r="D18" s="16"/>
      <c r="E18" s="16"/>
      <c r="F18" s="17"/>
      <c r="G18" s="94"/>
    </row>
    <row r="19" spans="2:7" ht="12" customHeight="1">
      <c r="B19" s="18" t="s">
        <v>13</v>
      </c>
      <c r="C19" s="203"/>
      <c r="D19" s="19"/>
      <c r="E19" s="19"/>
      <c r="F19" s="19"/>
      <c r="G19" s="95"/>
    </row>
    <row r="20" spans="2:7" ht="24" customHeight="1">
      <c r="B20" s="20" t="s">
        <v>14</v>
      </c>
      <c r="C20" s="20" t="s">
        <v>15</v>
      </c>
      <c r="D20" s="20" t="s">
        <v>16</v>
      </c>
      <c r="E20" s="20" t="s">
        <v>17</v>
      </c>
      <c r="F20" s="20" t="s">
        <v>18</v>
      </c>
      <c r="G20" s="20" t="s">
        <v>19</v>
      </c>
    </row>
    <row r="21" spans="2:7" ht="12.75" customHeight="1">
      <c r="B21" s="9"/>
      <c r="C21" s="21"/>
      <c r="D21" s="84"/>
      <c r="E21" s="21"/>
      <c r="F21" s="116"/>
      <c r="G21" s="116"/>
    </row>
    <row r="22" spans="2:7" ht="24.75" customHeight="1">
      <c r="B22" s="126" t="s">
        <v>101</v>
      </c>
      <c r="C22" s="21"/>
      <c r="D22" s="84"/>
      <c r="E22" s="21"/>
      <c r="F22" s="116"/>
      <c r="G22" s="116"/>
    </row>
    <row r="23" spans="2:7" ht="42.75" customHeight="1">
      <c r="B23" s="143" t="s">
        <v>125</v>
      </c>
      <c r="C23" s="143" t="s">
        <v>20</v>
      </c>
      <c r="D23" s="144">
        <v>18</v>
      </c>
      <c r="E23" s="143" t="s">
        <v>61</v>
      </c>
      <c r="F23" s="145">
        <v>75000</v>
      </c>
      <c r="G23" s="145">
        <f>D23*F23/2</f>
        <v>675000</v>
      </c>
    </row>
    <row r="24" spans="2:7" ht="12.75" customHeight="1">
      <c r="B24" s="139"/>
      <c r="C24" s="140"/>
      <c r="D24" s="141"/>
      <c r="E24" s="140"/>
      <c r="F24" s="142"/>
      <c r="G24" s="142"/>
    </row>
    <row r="25" spans="2:7" ht="25.5" customHeight="1">
      <c r="B25" s="146" t="s">
        <v>102</v>
      </c>
      <c r="C25" s="21"/>
      <c r="D25" s="84"/>
      <c r="E25" s="21"/>
      <c r="F25" s="116"/>
      <c r="G25" s="116"/>
    </row>
    <row r="26" spans="2:7" ht="12.75" customHeight="1">
      <c r="B26" s="135" t="s">
        <v>63</v>
      </c>
      <c r="C26" s="128" t="s">
        <v>20</v>
      </c>
      <c r="D26" s="129">
        <f>4*6/2</f>
        <v>12</v>
      </c>
      <c r="E26" s="129" t="s">
        <v>64</v>
      </c>
      <c r="F26" s="130">
        <v>27000</v>
      </c>
      <c r="G26" s="130">
        <f>D26*F26</f>
        <v>324000</v>
      </c>
    </row>
    <row r="27" spans="2:7" ht="12.75" customHeight="1">
      <c r="B27" s="135" t="s">
        <v>65</v>
      </c>
      <c r="C27" s="128" t="s">
        <v>20</v>
      </c>
      <c r="D27" s="129">
        <f>1*6/2</f>
        <v>3</v>
      </c>
      <c r="E27" s="129" t="s">
        <v>64</v>
      </c>
      <c r="F27" s="130">
        <v>27000</v>
      </c>
      <c r="G27" s="130">
        <f t="shared" ref="G27" si="0">D27*F27</f>
        <v>81000</v>
      </c>
    </row>
    <row r="28" spans="2:7" ht="12.75" customHeight="1">
      <c r="B28" s="135" t="s">
        <v>66</v>
      </c>
      <c r="C28" s="128" t="s">
        <v>20</v>
      </c>
      <c r="D28" s="129">
        <f>2/8*4/2</f>
        <v>0.5</v>
      </c>
      <c r="E28" s="129" t="s">
        <v>64</v>
      </c>
      <c r="F28" s="130">
        <v>27000</v>
      </c>
      <c r="G28" s="130">
        <f>D28*F28</f>
        <v>13500</v>
      </c>
    </row>
    <row r="29" spans="2:7" ht="12.75" customHeight="1">
      <c r="B29" s="135" t="s">
        <v>67</v>
      </c>
      <c r="C29" s="128" t="s">
        <v>20</v>
      </c>
      <c r="D29" s="129">
        <v>11</v>
      </c>
      <c r="E29" s="129" t="s">
        <v>68</v>
      </c>
      <c r="F29" s="130">
        <v>27000</v>
      </c>
      <c r="G29" s="130">
        <f t="shared" ref="G29:G30" si="1">D29*F29</f>
        <v>297000</v>
      </c>
    </row>
    <row r="30" spans="2:7" ht="12.75" customHeight="1">
      <c r="B30" s="135" t="s">
        <v>97</v>
      </c>
      <c r="C30" s="128" t="s">
        <v>20</v>
      </c>
      <c r="D30" s="129">
        <v>550</v>
      </c>
      <c r="E30" s="129" t="s">
        <v>122</v>
      </c>
      <c r="F30" s="130">
        <v>27000</v>
      </c>
      <c r="G30" s="130">
        <f t="shared" si="1"/>
        <v>14850000</v>
      </c>
    </row>
    <row r="31" spans="2:7" ht="12.75" customHeight="1">
      <c r="B31" s="135" t="s">
        <v>70</v>
      </c>
      <c r="C31" s="128" t="s">
        <v>20</v>
      </c>
      <c r="D31" s="129">
        <f>0.5*4*8+0.5*2*9</f>
        <v>25</v>
      </c>
      <c r="E31" s="129" t="s">
        <v>123</v>
      </c>
      <c r="F31" s="130">
        <v>27000</v>
      </c>
      <c r="G31" s="130">
        <f>D31*F31</f>
        <v>675000</v>
      </c>
    </row>
    <row r="32" spans="2:7" ht="12.75" customHeight="1">
      <c r="B32" s="135" t="s">
        <v>71</v>
      </c>
      <c r="C32" s="128" t="s">
        <v>20</v>
      </c>
      <c r="D32" s="329">
        <f>1.5/8*4+3/8*6*8+3*4*4</f>
        <v>66.75</v>
      </c>
      <c r="E32" s="129" t="s">
        <v>72</v>
      </c>
      <c r="F32" s="130">
        <v>27000</v>
      </c>
      <c r="G32" s="130">
        <f>D32*F32</f>
        <v>1802250</v>
      </c>
    </row>
    <row r="33" spans="2:7" ht="12.75" customHeight="1">
      <c r="B33" s="135" t="s">
        <v>73</v>
      </c>
      <c r="C33" s="128" t="s">
        <v>20</v>
      </c>
      <c r="D33" s="329">
        <f>40/60/8*30*3.5</f>
        <v>8.75</v>
      </c>
      <c r="E33" s="129" t="s">
        <v>72</v>
      </c>
      <c r="F33" s="130">
        <v>27000</v>
      </c>
      <c r="G33" s="130">
        <f t="shared" ref="G33:G36" si="2">D33*F33</f>
        <v>236250</v>
      </c>
    </row>
    <row r="34" spans="2:7" ht="12.75" customHeight="1">
      <c r="B34" s="134" t="s">
        <v>74</v>
      </c>
      <c r="C34" s="128" t="s">
        <v>20</v>
      </c>
      <c r="D34" s="129">
        <f>0.5*4*6</f>
        <v>12</v>
      </c>
      <c r="E34" s="129" t="s">
        <v>72</v>
      </c>
      <c r="F34" s="130">
        <v>27000</v>
      </c>
      <c r="G34" s="130">
        <f t="shared" si="2"/>
        <v>324000</v>
      </c>
    </row>
    <row r="35" spans="2:7" ht="12.75" customHeight="1">
      <c r="B35" s="134" t="s">
        <v>75</v>
      </c>
      <c r="C35" s="128" t="s">
        <v>20</v>
      </c>
      <c r="D35" s="129">
        <v>24</v>
      </c>
      <c r="E35" s="129" t="s">
        <v>124</v>
      </c>
      <c r="F35" s="130">
        <v>27000</v>
      </c>
      <c r="G35" s="130">
        <f t="shared" si="2"/>
        <v>648000</v>
      </c>
    </row>
    <row r="36" spans="2:7" ht="12.75" customHeight="1">
      <c r="B36" s="134" t="s">
        <v>76</v>
      </c>
      <c r="C36" s="128" t="s">
        <v>20</v>
      </c>
      <c r="D36" s="129">
        <v>20</v>
      </c>
      <c r="E36" s="129" t="s">
        <v>121</v>
      </c>
      <c r="F36" s="130">
        <v>27000</v>
      </c>
      <c r="G36" s="130">
        <f t="shared" si="2"/>
        <v>540000</v>
      </c>
    </row>
    <row r="37" spans="2:7" ht="12.75" customHeight="1">
      <c r="B37" s="128"/>
      <c r="C37" s="128"/>
      <c r="D37" s="129"/>
      <c r="E37" s="129"/>
      <c r="F37" s="132"/>
      <c r="G37" s="130"/>
    </row>
    <row r="38" spans="2:7" ht="12.75" customHeight="1">
      <c r="B38" s="146" t="s">
        <v>103</v>
      </c>
      <c r="C38" s="147"/>
      <c r="D38" s="148"/>
      <c r="E38" s="147"/>
      <c r="F38" s="149"/>
      <c r="G38" s="149"/>
    </row>
    <row r="39" spans="2:7" ht="12.75" customHeight="1">
      <c r="B39" s="257" t="s">
        <v>98</v>
      </c>
      <c r="C39" s="258" t="s">
        <v>20</v>
      </c>
      <c r="D39" s="259">
        <v>270</v>
      </c>
      <c r="E39" s="258" t="s">
        <v>145</v>
      </c>
      <c r="F39" s="130">
        <v>27000</v>
      </c>
      <c r="G39" s="260">
        <f t="shared" ref="G39:G41" si="3">D39*F39</f>
        <v>7290000</v>
      </c>
    </row>
    <row r="40" spans="2:7" ht="12.75" customHeight="1">
      <c r="B40" s="261" t="s">
        <v>104</v>
      </c>
      <c r="C40" s="258"/>
      <c r="D40" s="259"/>
      <c r="E40" s="258"/>
      <c r="F40" s="260"/>
      <c r="G40" s="260"/>
    </row>
    <row r="41" spans="2:7" ht="12.75" customHeight="1">
      <c r="B41" s="257" t="s">
        <v>105</v>
      </c>
      <c r="C41" s="258" t="s">
        <v>20</v>
      </c>
      <c r="D41" s="259">
        <v>140</v>
      </c>
      <c r="E41" s="258" t="s">
        <v>145</v>
      </c>
      <c r="F41" s="130">
        <v>27000</v>
      </c>
      <c r="G41" s="260">
        <f t="shared" si="3"/>
        <v>3780000</v>
      </c>
    </row>
    <row r="42" spans="2:7" ht="12.75" customHeight="1">
      <c r="B42" s="150"/>
      <c r="C42" s="147"/>
      <c r="D42" s="148"/>
      <c r="E42" s="147"/>
      <c r="F42" s="149"/>
      <c r="G42" s="149"/>
    </row>
    <row r="43" spans="2:7" ht="12.75" customHeight="1">
      <c r="B43" s="22" t="s">
        <v>21</v>
      </c>
      <c r="C43" s="205"/>
      <c r="D43" s="23"/>
      <c r="E43" s="23"/>
      <c r="F43" s="24"/>
      <c r="G43" s="117">
        <f>SUM(G21:G42)</f>
        <v>31536000</v>
      </c>
    </row>
    <row r="44" spans="2:7" ht="12" customHeight="1">
      <c r="B44" s="15"/>
      <c r="C44" s="206"/>
      <c r="D44" s="17"/>
      <c r="E44" s="17"/>
      <c r="F44" s="25"/>
      <c r="G44" s="96"/>
    </row>
    <row r="45" spans="2:7" ht="12" customHeight="1">
      <c r="B45" s="26" t="s">
        <v>22</v>
      </c>
      <c r="C45" s="207"/>
      <c r="D45" s="27"/>
      <c r="E45" s="27"/>
      <c r="F45" s="28"/>
      <c r="G45" s="97"/>
    </row>
    <row r="46" spans="2:7" ht="24" customHeight="1">
      <c r="B46" s="29" t="s">
        <v>14</v>
      </c>
      <c r="C46" s="30" t="s">
        <v>15</v>
      </c>
      <c r="D46" s="30" t="s">
        <v>16</v>
      </c>
      <c r="E46" s="29" t="s">
        <v>56</v>
      </c>
      <c r="F46" s="30" t="s">
        <v>18</v>
      </c>
      <c r="G46" s="29" t="s">
        <v>19</v>
      </c>
    </row>
    <row r="47" spans="2:7" ht="12" customHeight="1">
      <c r="B47" s="31" t="s">
        <v>77</v>
      </c>
      <c r="C47" s="208" t="s">
        <v>77</v>
      </c>
      <c r="D47" s="31" t="s">
        <v>77</v>
      </c>
      <c r="E47" s="31" t="s">
        <v>77</v>
      </c>
      <c r="F47" s="83"/>
      <c r="G47" s="119"/>
    </row>
    <row r="48" spans="2:7" ht="12" customHeight="1">
      <c r="B48" s="32" t="s">
        <v>23</v>
      </c>
      <c r="C48" s="209"/>
      <c r="D48" s="33"/>
      <c r="E48" s="33"/>
      <c r="F48" s="34"/>
      <c r="G48" s="120"/>
    </row>
    <row r="49" spans="2:9" ht="12" customHeight="1">
      <c r="B49" s="35"/>
      <c r="C49" s="210"/>
      <c r="D49" s="36"/>
      <c r="E49" s="36"/>
      <c r="F49" s="37"/>
      <c r="G49" s="98"/>
    </row>
    <row r="50" spans="2:9" ht="12" customHeight="1">
      <c r="B50" s="26" t="s">
        <v>24</v>
      </c>
      <c r="C50" s="207"/>
      <c r="D50" s="27"/>
      <c r="E50" s="27"/>
      <c r="F50" s="28"/>
      <c r="G50" s="97"/>
    </row>
    <row r="51" spans="2:9" ht="24" customHeight="1">
      <c r="B51" s="38" t="s">
        <v>14</v>
      </c>
      <c r="C51" s="39" t="s">
        <v>15</v>
      </c>
      <c r="D51" s="38" t="s">
        <v>16</v>
      </c>
      <c r="E51" s="38" t="s">
        <v>17</v>
      </c>
      <c r="F51" s="39" t="s">
        <v>18</v>
      </c>
      <c r="G51" s="38" t="s">
        <v>19</v>
      </c>
    </row>
    <row r="52" spans="2:9" ht="31.5" customHeight="1">
      <c r="B52" s="262" t="s">
        <v>126</v>
      </c>
      <c r="C52" s="263" t="s">
        <v>78</v>
      </c>
      <c r="D52" s="330">
        <f>14.5+12</f>
        <v>26.5</v>
      </c>
      <c r="E52" s="263" t="s">
        <v>68</v>
      </c>
      <c r="F52" s="265">
        <f>18000*1.19</f>
        <v>21420</v>
      </c>
      <c r="G52" s="265">
        <f>D52*F52</f>
        <v>567630</v>
      </c>
    </row>
    <row r="53" spans="2:9" ht="30.75" customHeight="1">
      <c r="B53" s="262" t="s">
        <v>79</v>
      </c>
      <c r="C53" s="263" t="s">
        <v>80</v>
      </c>
      <c r="D53" s="264">
        <f>120*48</f>
        <v>5760</v>
      </c>
      <c r="E53" s="263" t="s">
        <v>68</v>
      </c>
      <c r="F53" s="265">
        <v>688</v>
      </c>
      <c r="G53" s="265">
        <f>D53*F53</f>
        <v>3962880</v>
      </c>
    </row>
    <row r="54" spans="2:9" ht="12.75" customHeight="1">
      <c r="B54" s="9"/>
      <c r="C54" s="21"/>
      <c r="D54" s="84"/>
      <c r="E54" s="21"/>
      <c r="F54" s="116"/>
      <c r="G54" s="116"/>
    </row>
    <row r="55" spans="2:9" ht="12.75" customHeight="1">
      <c r="B55" s="40" t="s">
        <v>25</v>
      </c>
      <c r="C55" s="211"/>
      <c r="D55" s="41"/>
      <c r="E55" s="41"/>
      <c r="F55" s="41"/>
      <c r="G55" s="118">
        <f>G52+G53+G54</f>
        <v>4530510</v>
      </c>
    </row>
    <row r="56" spans="2:9" ht="12" customHeight="1">
      <c r="B56" s="35"/>
      <c r="C56" s="210"/>
      <c r="D56" s="36"/>
      <c r="E56" s="36"/>
      <c r="F56" s="37"/>
      <c r="G56" s="98"/>
    </row>
    <row r="57" spans="2:9" ht="12" customHeight="1">
      <c r="B57" s="26" t="s">
        <v>26</v>
      </c>
      <c r="C57" s="207"/>
      <c r="D57" s="27"/>
      <c r="E57" s="27"/>
      <c r="F57" s="28"/>
      <c r="G57" s="97"/>
    </row>
    <row r="58" spans="2:9" ht="24" customHeight="1">
      <c r="B58" s="86" t="s">
        <v>27</v>
      </c>
      <c r="C58" s="86" t="s">
        <v>28</v>
      </c>
      <c r="D58" s="86" t="s">
        <v>29</v>
      </c>
      <c r="E58" s="86" t="s">
        <v>17</v>
      </c>
      <c r="F58" s="86" t="s">
        <v>18</v>
      </c>
      <c r="G58" s="99" t="s">
        <v>19</v>
      </c>
    </row>
    <row r="59" spans="2:9" ht="12.75" customHeight="1">
      <c r="B59" s="124" t="s">
        <v>106</v>
      </c>
      <c r="C59" s="89"/>
      <c r="D59" s="88"/>
      <c r="E59" s="89"/>
      <c r="F59" s="89"/>
      <c r="G59" s="88"/>
    </row>
    <row r="60" spans="2:9" ht="26.25" customHeight="1">
      <c r="B60" s="212" t="s">
        <v>128</v>
      </c>
      <c r="C60" s="212" t="s">
        <v>59</v>
      </c>
      <c r="D60" s="167">
        <f>2850-500</f>
        <v>2350</v>
      </c>
      <c r="E60" s="166" t="s">
        <v>62</v>
      </c>
      <c r="F60" s="168">
        <v>5031.32</v>
      </c>
      <c r="G60" s="168">
        <f>D60*F60/2</f>
        <v>5911801</v>
      </c>
    </row>
    <row r="61" spans="2:9" ht="31.5" customHeight="1">
      <c r="B61" s="266" t="s">
        <v>129</v>
      </c>
      <c r="C61" s="212" t="s">
        <v>81</v>
      </c>
      <c r="D61" s="167">
        <v>500</v>
      </c>
      <c r="E61" s="166" t="s">
        <v>62</v>
      </c>
      <c r="F61" s="168">
        <v>4879</v>
      </c>
      <c r="G61" s="168">
        <f>D61*F61</f>
        <v>2439500</v>
      </c>
      <c r="I61" s="336"/>
    </row>
    <row r="62" spans="2:9" ht="27.75" customHeight="1">
      <c r="B62" s="266" t="s">
        <v>130</v>
      </c>
      <c r="C62" s="212" t="s">
        <v>59</v>
      </c>
      <c r="D62" s="167">
        <v>330</v>
      </c>
      <c r="E62" s="166" t="s">
        <v>62</v>
      </c>
      <c r="F62" s="168">
        <v>4607.6799999999994</v>
      </c>
      <c r="G62" s="168">
        <f>D62*F62/2</f>
        <v>760267.2</v>
      </c>
    </row>
    <row r="63" spans="2:9" ht="30" customHeight="1">
      <c r="B63" s="266" t="s">
        <v>133</v>
      </c>
      <c r="C63" s="212" t="s">
        <v>59</v>
      </c>
      <c r="D63" s="167">
        <v>230</v>
      </c>
      <c r="E63" s="166" t="s">
        <v>62</v>
      </c>
      <c r="F63" s="168">
        <v>5031.32</v>
      </c>
      <c r="G63" s="168">
        <f>D63*F63/2</f>
        <v>578601.79999999993</v>
      </c>
    </row>
    <row r="64" spans="2:9" ht="30" customHeight="1">
      <c r="B64" s="266" t="s">
        <v>132</v>
      </c>
      <c r="C64" s="212" t="s">
        <v>59</v>
      </c>
      <c r="D64" s="167">
        <v>215</v>
      </c>
      <c r="E64" s="166" t="s">
        <v>62</v>
      </c>
      <c r="F64" s="168">
        <v>5031.32</v>
      </c>
      <c r="G64" s="168">
        <f>D64*F64/2</f>
        <v>540866.9</v>
      </c>
    </row>
    <row r="65" spans="2:7" ht="29.25" customHeight="1">
      <c r="B65" s="266" t="s">
        <v>131</v>
      </c>
      <c r="C65" s="212" t="s">
        <v>59</v>
      </c>
      <c r="D65" s="167">
        <v>80</v>
      </c>
      <c r="E65" s="166" t="s">
        <v>62</v>
      </c>
      <c r="F65" s="168">
        <v>4879</v>
      </c>
      <c r="G65" s="168">
        <f>D65*F65/1</f>
        <v>390320</v>
      </c>
    </row>
    <row r="66" spans="2:7" ht="27" customHeight="1">
      <c r="B66" s="266" t="s">
        <v>134</v>
      </c>
      <c r="C66" s="212" t="s">
        <v>107</v>
      </c>
      <c r="D66" s="167">
        <v>14</v>
      </c>
      <c r="E66" s="166" t="s">
        <v>62</v>
      </c>
      <c r="F66" s="168">
        <v>333200</v>
      </c>
      <c r="G66" s="168">
        <f>D66*F66/4</f>
        <v>1166200</v>
      </c>
    </row>
    <row r="67" spans="2:7" ht="36.75" customHeight="1">
      <c r="B67" s="161" t="s">
        <v>135</v>
      </c>
      <c r="C67" s="175" t="s">
        <v>108</v>
      </c>
      <c r="D67" s="162">
        <v>4</v>
      </c>
      <c r="E67" s="166" t="s">
        <v>62</v>
      </c>
      <c r="F67" s="163">
        <v>49980</v>
      </c>
      <c r="G67" s="163">
        <f>D67*F67/4</f>
        <v>49980</v>
      </c>
    </row>
    <row r="68" spans="2:7" ht="36.75" customHeight="1">
      <c r="B68" s="266" t="s">
        <v>136</v>
      </c>
      <c r="C68" s="212" t="s">
        <v>59</v>
      </c>
      <c r="D68" s="167">
        <v>420</v>
      </c>
      <c r="E68" s="166" t="s">
        <v>62</v>
      </c>
      <c r="F68" s="168">
        <v>6693.75</v>
      </c>
      <c r="G68" s="168">
        <f>D68*F68</f>
        <v>2811375</v>
      </c>
    </row>
    <row r="69" spans="2:7" ht="12.75" customHeight="1">
      <c r="B69" s="165" t="s">
        <v>109</v>
      </c>
      <c r="C69" s="212"/>
      <c r="D69" s="167"/>
      <c r="E69" s="166"/>
      <c r="F69" s="168"/>
      <c r="G69" s="168"/>
    </row>
    <row r="70" spans="2:7" ht="34.5" customHeight="1">
      <c r="B70" s="267" t="s">
        <v>137</v>
      </c>
      <c r="C70" s="268" t="s">
        <v>80</v>
      </c>
      <c r="D70" s="269">
        <v>11520</v>
      </c>
      <c r="E70" s="270" t="s">
        <v>69</v>
      </c>
      <c r="F70" s="271">
        <v>79</v>
      </c>
      <c r="G70" s="271">
        <f>D70*F70/1</f>
        <v>910080</v>
      </c>
    </row>
    <row r="71" spans="2:7" ht="27" customHeight="1">
      <c r="B71" s="254" t="s">
        <v>138</v>
      </c>
      <c r="C71" s="255" t="s">
        <v>110</v>
      </c>
      <c r="D71" s="256">
        <v>1</v>
      </c>
      <c r="E71" s="171" t="s">
        <v>111</v>
      </c>
      <c r="F71" s="173">
        <v>10000000</v>
      </c>
      <c r="G71" s="173">
        <f>D71*F71/4</f>
        <v>2500000</v>
      </c>
    </row>
    <row r="72" spans="2:7" ht="12.75" customHeight="1">
      <c r="B72" s="124" t="s">
        <v>146</v>
      </c>
      <c r="C72" s="214"/>
      <c r="D72" s="87"/>
      <c r="E72" s="85"/>
      <c r="F72" s="88"/>
      <c r="G72" s="88"/>
    </row>
    <row r="73" spans="2:7" ht="12.75" customHeight="1">
      <c r="B73" s="183" t="s">
        <v>147</v>
      </c>
      <c r="C73" s="215" t="s">
        <v>58</v>
      </c>
      <c r="D73" s="136">
        <v>28000</v>
      </c>
      <c r="E73" s="138" t="s">
        <v>68</v>
      </c>
      <c r="F73" s="137">
        <v>210</v>
      </c>
      <c r="G73" s="137">
        <f>D73*F73</f>
        <v>5880000</v>
      </c>
    </row>
    <row r="74" spans="2:7" ht="12.75" customHeight="1">
      <c r="B74" s="169"/>
      <c r="C74" s="213"/>
      <c r="D74" s="153"/>
      <c r="E74" s="152"/>
      <c r="F74" s="154"/>
      <c r="G74" s="154"/>
    </row>
    <row r="75" spans="2:7" ht="12.75" customHeight="1">
      <c r="B75" s="125" t="s">
        <v>57</v>
      </c>
      <c r="C75" s="214"/>
      <c r="D75" s="87"/>
      <c r="E75" s="85"/>
      <c r="F75" s="88"/>
      <c r="G75" s="88"/>
    </row>
    <row r="76" spans="2:7" ht="12.75" customHeight="1">
      <c r="B76" s="247" t="s">
        <v>83</v>
      </c>
      <c r="C76" s="255" t="s">
        <v>84</v>
      </c>
      <c r="D76" s="172">
        <v>50</v>
      </c>
      <c r="E76" s="171" t="s">
        <v>68</v>
      </c>
      <c r="F76" s="173">
        <v>8000</v>
      </c>
      <c r="G76" s="173">
        <f t="shared" ref="G76:G82" si="4">D76*F76</f>
        <v>400000</v>
      </c>
    </row>
    <row r="77" spans="2:7" ht="12.75" customHeight="1">
      <c r="B77" s="272" t="s">
        <v>85</v>
      </c>
      <c r="C77" s="215" t="s">
        <v>81</v>
      </c>
      <c r="D77" s="136">
        <v>200</v>
      </c>
      <c r="E77" s="138" t="s">
        <v>68</v>
      </c>
      <c r="F77" s="137">
        <v>1076.95</v>
      </c>
      <c r="G77" s="137">
        <f t="shared" si="4"/>
        <v>215390</v>
      </c>
    </row>
    <row r="78" spans="2:7" ht="12.75" customHeight="1">
      <c r="B78" s="272" t="s">
        <v>86</v>
      </c>
      <c r="C78" s="215" t="s">
        <v>81</v>
      </c>
      <c r="D78" s="136">
        <v>100</v>
      </c>
      <c r="E78" s="138" t="s">
        <v>87</v>
      </c>
      <c r="F78" s="137">
        <v>3492.6499999999996</v>
      </c>
      <c r="G78" s="137">
        <f t="shared" si="4"/>
        <v>349264.99999999994</v>
      </c>
    </row>
    <row r="79" spans="2:7" ht="12.75" customHeight="1">
      <c r="B79" s="272" t="s">
        <v>88</v>
      </c>
      <c r="C79" s="215" t="s">
        <v>89</v>
      </c>
      <c r="D79" s="136">
        <v>1000</v>
      </c>
      <c r="E79" s="138" t="s">
        <v>72</v>
      </c>
      <c r="F79" s="137">
        <v>1392.3</v>
      </c>
      <c r="G79" s="137">
        <f t="shared" si="4"/>
        <v>1392300</v>
      </c>
    </row>
    <row r="80" spans="2:7" ht="12.75" customHeight="1">
      <c r="B80" s="272" t="s">
        <v>90</v>
      </c>
      <c r="C80" s="215" t="s">
        <v>81</v>
      </c>
      <c r="D80" s="136">
        <v>300</v>
      </c>
      <c r="E80" s="138" t="s">
        <v>72</v>
      </c>
      <c r="F80" s="137">
        <v>1076.95</v>
      </c>
      <c r="G80" s="137">
        <f t="shared" si="4"/>
        <v>323085</v>
      </c>
    </row>
    <row r="81" spans="2:7" ht="12.75" customHeight="1">
      <c r="B81" s="272" t="s">
        <v>91</v>
      </c>
      <c r="C81" s="215" t="s">
        <v>81</v>
      </c>
      <c r="D81" s="136">
        <v>100</v>
      </c>
      <c r="E81" s="138" t="s">
        <v>72</v>
      </c>
      <c r="F81" s="137">
        <v>871.07999999999993</v>
      </c>
      <c r="G81" s="137">
        <f t="shared" si="4"/>
        <v>87108</v>
      </c>
    </row>
    <row r="82" spans="2:7" ht="12.75" customHeight="1">
      <c r="B82" s="272" t="s">
        <v>93</v>
      </c>
      <c r="C82" s="215" t="s">
        <v>81</v>
      </c>
      <c r="D82" s="136">
        <v>100</v>
      </c>
      <c r="E82" s="138" t="s">
        <v>72</v>
      </c>
      <c r="F82" s="137">
        <v>2330.02</v>
      </c>
      <c r="G82" s="137">
        <f t="shared" si="4"/>
        <v>233002</v>
      </c>
    </row>
    <row r="83" spans="2:7" ht="12.75" customHeight="1">
      <c r="B83" s="151"/>
      <c r="C83" s="213"/>
      <c r="D83" s="153"/>
      <c r="E83" s="152"/>
      <c r="F83" s="154"/>
      <c r="G83" s="154"/>
    </row>
    <row r="84" spans="2:7" ht="12.75" customHeight="1">
      <c r="B84" s="124" t="s">
        <v>112</v>
      </c>
      <c r="C84" s="85"/>
      <c r="D84" s="87"/>
      <c r="E84" s="85"/>
      <c r="F84" s="88"/>
      <c r="G84" s="88"/>
    </row>
    <row r="85" spans="2:7" ht="12.75" customHeight="1">
      <c r="B85" s="170" t="s">
        <v>94</v>
      </c>
      <c r="C85" s="85"/>
      <c r="D85" s="87"/>
      <c r="E85" s="85"/>
      <c r="F85" s="88"/>
      <c r="G85" s="88"/>
    </row>
    <row r="86" spans="2:7" ht="12.75" customHeight="1">
      <c r="B86" s="189" t="s">
        <v>157</v>
      </c>
      <c r="C86" s="190" t="s">
        <v>81</v>
      </c>
      <c r="D86" s="191">
        <v>0.5</v>
      </c>
      <c r="E86" s="190" t="s">
        <v>72</v>
      </c>
      <c r="F86" s="192">
        <v>156913.4</v>
      </c>
      <c r="G86" s="192">
        <f t="shared" ref="G86:G94" si="5">D86*F86</f>
        <v>78456.7</v>
      </c>
    </row>
    <row r="87" spans="2:7" ht="12.75" customHeight="1">
      <c r="B87" s="189" t="s">
        <v>99</v>
      </c>
      <c r="C87" s="190" t="s">
        <v>81</v>
      </c>
      <c r="D87" s="191">
        <v>2</v>
      </c>
      <c r="E87" s="190" t="s">
        <v>72</v>
      </c>
      <c r="F87" s="192">
        <f>13000*5</f>
        <v>65000</v>
      </c>
      <c r="G87" s="192">
        <f>D87*F87</f>
        <v>130000</v>
      </c>
    </row>
    <row r="88" spans="2:7" ht="12.75" customHeight="1">
      <c r="B88" s="241" t="s">
        <v>161</v>
      </c>
      <c r="C88" s="242" t="s">
        <v>159</v>
      </c>
      <c r="D88" s="243">
        <f>6</f>
        <v>6</v>
      </c>
      <c r="E88" s="244" t="s">
        <v>162</v>
      </c>
      <c r="F88" s="245">
        <v>25909.87</v>
      </c>
      <c r="G88" s="192">
        <f t="shared" ref="G88:G90" si="6">D88*F88</f>
        <v>155459.22</v>
      </c>
    </row>
    <row r="89" spans="2:7" ht="12.75" customHeight="1">
      <c r="B89" s="241" t="s">
        <v>163</v>
      </c>
      <c r="C89" s="244" t="s">
        <v>159</v>
      </c>
      <c r="D89" s="243">
        <v>2</v>
      </c>
      <c r="E89" s="244" t="s">
        <v>162</v>
      </c>
      <c r="F89" s="246">
        <v>91430.080000000002</v>
      </c>
      <c r="G89" s="192">
        <f t="shared" si="6"/>
        <v>182860.16</v>
      </c>
    </row>
    <row r="90" spans="2:7" ht="12.75" customHeight="1">
      <c r="B90" s="241" t="s">
        <v>164</v>
      </c>
      <c r="C90" s="244" t="s">
        <v>153</v>
      </c>
      <c r="D90" s="243">
        <v>2</v>
      </c>
      <c r="E90" s="244" t="s">
        <v>162</v>
      </c>
      <c r="F90" s="246">
        <v>77897.399999999994</v>
      </c>
      <c r="G90" s="192">
        <f t="shared" si="6"/>
        <v>155794.79999999999</v>
      </c>
    </row>
    <row r="91" spans="2:7" ht="12.75" customHeight="1">
      <c r="B91" s="247"/>
      <c r="C91" s="171"/>
      <c r="D91" s="172"/>
      <c r="E91" s="171"/>
      <c r="F91" s="173"/>
      <c r="G91" s="173"/>
    </row>
    <row r="92" spans="2:7" ht="12.75" customHeight="1">
      <c r="B92" s="189" t="s">
        <v>113</v>
      </c>
      <c r="C92" s="190"/>
      <c r="D92" s="191"/>
      <c r="E92" s="190"/>
      <c r="F92" s="192"/>
      <c r="G92" s="192"/>
    </row>
    <row r="93" spans="2:7" ht="12.75" customHeight="1">
      <c r="B93" s="189" t="s">
        <v>149</v>
      </c>
      <c r="C93" s="190" t="s">
        <v>81</v>
      </c>
      <c r="D93" s="331">
        <v>0.5</v>
      </c>
      <c r="E93" s="190" t="s">
        <v>68</v>
      </c>
      <c r="F93" s="192">
        <v>66555.509999999995</v>
      </c>
      <c r="G93" s="192">
        <f t="shared" si="5"/>
        <v>33277.754999999997</v>
      </c>
    </row>
    <row r="94" spans="2:7" ht="12.75" customHeight="1">
      <c r="B94" s="189" t="s">
        <v>114</v>
      </c>
      <c r="C94" s="190" t="s">
        <v>81</v>
      </c>
      <c r="D94" s="191">
        <v>1</v>
      </c>
      <c r="E94" s="190" t="s">
        <v>115</v>
      </c>
      <c r="F94" s="192">
        <v>120184.04999999999</v>
      </c>
      <c r="G94" s="192">
        <f t="shared" si="5"/>
        <v>120184.04999999999</v>
      </c>
    </row>
    <row r="95" spans="2:7" ht="12.75" customHeight="1">
      <c r="B95" s="236"/>
      <c r="C95" s="190"/>
      <c r="D95" s="191"/>
      <c r="E95" s="190"/>
      <c r="F95" s="192"/>
      <c r="G95" s="192"/>
    </row>
    <row r="96" spans="2:7" ht="12.75" customHeight="1">
      <c r="B96" s="274" t="s">
        <v>180</v>
      </c>
      <c r="C96" s="275"/>
      <c r="D96" s="191"/>
      <c r="E96" s="190"/>
      <c r="F96" s="192"/>
      <c r="G96" s="192"/>
    </row>
    <row r="97" spans="2:7" ht="12.75" customHeight="1">
      <c r="B97" s="174" t="s">
        <v>100</v>
      </c>
      <c r="C97" s="175" t="s">
        <v>117</v>
      </c>
      <c r="D97" s="163">
        <f>2/2</f>
        <v>1</v>
      </c>
      <c r="E97" s="162" t="s">
        <v>95</v>
      </c>
      <c r="F97" s="163">
        <v>60511.5</v>
      </c>
      <c r="G97" s="163">
        <f>F97*D97</f>
        <v>60511.5</v>
      </c>
    </row>
    <row r="98" spans="2:7" ht="25.5" customHeight="1">
      <c r="B98" s="254" t="s">
        <v>82</v>
      </c>
      <c r="C98" s="255" t="s">
        <v>59</v>
      </c>
      <c r="D98" s="256">
        <v>40.510127531882972</v>
      </c>
      <c r="E98" s="171" t="s">
        <v>95</v>
      </c>
      <c r="F98" s="173">
        <f>4202*1.19</f>
        <v>5000.38</v>
      </c>
      <c r="G98" s="173">
        <f t="shared" ref="G98" si="7">D98*F98</f>
        <v>202566.03150787699</v>
      </c>
    </row>
    <row r="99" spans="2:7" ht="12.75" customHeight="1">
      <c r="B99" s="332"/>
      <c r="C99" s="333"/>
      <c r="D99" s="334"/>
      <c r="E99" s="335"/>
      <c r="F99" s="334"/>
      <c r="G99" s="334"/>
    </row>
    <row r="100" spans="2:7" ht="12.75" customHeight="1">
      <c r="B100" s="274" t="s">
        <v>169</v>
      </c>
      <c r="C100" s="333"/>
      <c r="D100" s="334"/>
      <c r="E100" s="335"/>
      <c r="F100" s="334"/>
      <c r="G100" s="334"/>
    </row>
    <row r="101" spans="2:7" ht="12.75" customHeight="1">
      <c r="B101" s="189" t="s">
        <v>170</v>
      </c>
      <c r="C101" s="190" t="s">
        <v>171</v>
      </c>
      <c r="D101" s="276">
        <v>100</v>
      </c>
      <c r="E101" s="273" t="s">
        <v>95</v>
      </c>
      <c r="F101" s="253">
        <f>2500*1.19</f>
        <v>2975</v>
      </c>
      <c r="G101" s="253">
        <f>F101*D101</f>
        <v>297500</v>
      </c>
    </row>
    <row r="102" spans="2:7" ht="12.75" customHeight="1">
      <c r="B102" s="189" t="s">
        <v>172</v>
      </c>
      <c r="C102" s="190" t="s">
        <v>171</v>
      </c>
      <c r="D102" s="191">
        <v>10</v>
      </c>
      <c r="E102" s="190" t="s">
        <v>72</v>
      </c>
      <c r="F102" s="253">
        <f>8000*1.19</f>
        <v>9520</v>
      </c>
      <c r="G102" s="253">
        <f>F102*D102</f>
        <v>95200</v>
      </c>
    </row>
    <row r="103" spans="2:7" ht="12.75" customHeight="1">
      <c r="B103" s="189" t="s">
        <v>173</v>
      </c>
      <c r="C103" s="190" t="s">
        <v>59</v>
      </c>
      <c r="D103" s="191">
        <v>1</v>
      </c>
      <c r="E103" s="190" t="s">
        <v>72</v>
      </c>
      <c r="F103" s="253">
        <f>51840*1.19</f>
        <v>61689.599999999999</v>
      </c>
      <c r="G103" s="253">
        <f>F103*D103</f>
        <v>61689.599999999999</v>
      </c>
    </row>
    <row r="104" spans="2:7" ht="12.75" customHeight="1">
      <c r="B104" s="189" t="s">
        <v>174</v>
      </c>
      <c r="C104" s="190" t="s">
        <v>59</v>
      </c>
      <c r="D104" s="191">
        <v>1</v>
      </c>
      <c r="E104" s="190" t="s">
        <v>72</v>
      </c>
      <c r="F104" s="253">
        <f>36280*1.19</f>
        <v>43173.2</v>
      </c>
      <c r="G104" s="253">
        <f t="shared" ref="G104:G108" si="8">F104*D104</f>
        <v>43173.2</v>
      </c>
    </row>
    <row r="105" spans="2:7" ht="12.75" customHeight="1">
      <c r="B105" s="189" t="s">
        <v>175</v>
      </c>
      <c r="C105" s="190" t="s">
        <v>59</v>
      </c>
      <c r="D105" s="191">
        <v>1</v>
      </c>
      <c r="E105" s="190" t="s">
        <v>72</v>
      </c>
      <c r="F105" s="253">
        <f>82080*1.19</f>
        <v>97675.199999999997</v>
      </c>
      <c r="G105" s="253">
        <f t="shared" si="8"/>
        <v>97675.199999999997</v>
      </c>
    </row>
    <row r="106" spans="2:7" ht="12.75" customHeight="1">
      <c r="B106" s="189" t="s">
        <v>176</v>
      </c>
      <c r="C106" s="190" t="s">
        <v>59</v>
      </c>
      <c r="D106" s="191">
        <v>1</v>
      </c>
      <c r="E106" s="190" t="s">
        <v>72</v>
      </c>
      <c r="F106" s="253">
        <f>45792*1.19</f>
        <v>54492.479999999996</v>
      </c>
      <c r="G106" s="253">
        <f t="shared" si="8"/>
        <v>54492.479999999996</v>
      </c>
    </row>
    <row r="107" spans="2:7" ht="12.75" customHeight="1">
      <c r="B107" s="189" t="s">
        <v>177</v>
      </c>
      <c r="C107" s="190" t="s">
        <v>59</v>
      </c>
      <c r="D107" s="191">
        <v>1</v>
      </c>
      <c r="E107" s="190" t="s">
        <v>72</v>
      </c>
      <c r="F107" s="253">
        <f>35240*1.19</f>
        <v>41935.599999999999</v>
      </c>
      <c r="G107" s="253">
        <f t="shared" si="8"/>
        <v>41935.599999999999</v>
      </c>
    </row>
    <row r="108" spans="2:7" ht="13.5" customHeight="1">
      <c r="B108" s="189" t="s">
        <v>178</v>
      </c>
      <c r="C108" s="190" t="s">
        <v>179</v>
      </c>
      <c r="D108" s="191">
        <v>5</v>
      </c>
      <c r="E108" s="190" t="s">
        <v>72</v>
      </c>
      <c r="F108" s="253">
        <v>7997</v>
      </c>
      <c r="G108" s="253">
        <f t="shared" si="8"/>
        <v>39985</v>
      </c>
    </row>
    <row r="109" spans="2:7" ht="12" customHeight="1">
      <c r="B109" s="112" t="s">
        <v>30</v>
      </c>
      <c r="C109" s="113"/>
      <c r="D109" s="113"/>
      <c r="E109" s="113"/>
      <c r="F109" s="114"/>
      <c r="G109" s="121">
        <f>SUM(G59:G108)</f>
        <v>28789903.196507875</v>
      </c>
    </row>
    <row r="110" spans="2:7" ht="12" customHeight="1">
      <c r="B110" s="26" t="s">
        <v>31</v>
      </c>
      <c r="C110" s="207"/>
      <c r="D110" s="27"/>
      <c r="E110" s="27"/>
      <c r="F110" s="28"/>
      <c r="G110" s="97"/>
    </row>
    <row r="111" spans="2:7" ht="24" customHeight="1">
      <c r="B111" s="106" t="s">
        <v>32</v>
      </c>
      <c r="C111" s="86" t="s">
        <v>28</v>
      </c>
      <c r="D111" s="86" t="s">
        <v>29</v>
      </c>
      <c r="E111" s="106" t="s">
        <v>17</v>
      </c>
      <c r="F111" s="86" t="s">
        <v>18</v>
      </c>
      <c r="G111" s="106" t="s">
        <v>19</v>
      </c>
    </row>
    <row r="112" spans="2:7" ht="16.5" customHeight="1">
      <c r="B112" s="176" t="s">
        <v>118</v>
      </c>
      <c r="C112" s="218" t="s">
        <v>119</v>
      </c>
      <c r="D112" s="176">
        <v>10</v>
      </c>
      <c r="E112" s="176" t="s">
        <v>139</v>
      </c>
      <c r="F112" s="177">
        <v>150000</v>
      </c>
      <c r="G112" s="177">
        <f t="shared" ref="G112" si="9">F112*D112</f>
        <v>1500000</v>
      </c>
    </row>
    <row r="113" spans="2:11" ht="13.5" customHeight="1">
      <c r="B113" s="42" t="s">
        <v>33</v>
      </c>
      <c r="C113" s="219"/>
      <c r="D113" s="43"/>
      <c r="E113" s="105"/>
      <c r="F113" s="44"/>
      <c r="G113" s="122">
        <f>SUM(G112)</f>
        <v>1500000</v>
      </c>
    </row>
    <row r="114" spans="2:11" ht="12" customHeight="1">
      <c r="B114" s="52"/>
      <c r="C114" s="220"/>
      <c r="D114" s="52"/>
      <c r="E114" s="52"/>
      <c r="F114" s="53"/>
      <c r="G114" s="100"/>
    </row>
    <row r="115" spans="2:11" ht="12" customHeight="1">
      <c r="B115" s="54" t="s">
        <v>34</v>
      </c>
      <c r="C115" s="221"/>
      <c r="D115" s="55"/>
      <c r="E115" s="55"/>
      <c r="F115" s="55"/>
      <c r="G115" s="56">
        <f>G43+G48+G55+G109+G113</f>
        <v>66356413.196507871</v>
      </c>
    </row>
    <row r="116" spans="2:11" ht="12" customHeight="1">
      <c r="B116" s="57" t="s">
        <v>35</v>
      </c>
      <c r="C116" s="222"/>
      <c r="D116" s="46"/>
      <c r="E116" s="46"/>
      <c r="F116" s="46"/>
      <c r="G116" s="58">
        <f>G115*0.05</f>
        <v>3317820.6598253939</v>
      </c>
    </row>
    <row r="117" spans="2:11" ht="12" customHeight="1">
      <c r="B117" s="59" t="s">
        <v>36</v>
      </c>
      <c r="C117" s="223"/>
      <c r="D117" s="45"/>
      <c r="E117" s="45"/>
      <c r="F117" s="45"/>
      <c r="G117" s="60">
        <f>G116+G115</f>
        <v>69674233.856333271</v>
      </c>
    </row>
    <row r="118" spans="2:11" ht="12" customHeight="1">
      <c r="B118" s="57" t="s">
        <v>37</v>
      </c>
      <c r="C118" s="222"/>
      <c r="D118" s="46"/>
      <c r="E118" s="46"/>
      <c r="F118" s="46"/>
      <c r="G118" s="58">
        <f>G12</f>
        <v>85000000</v>
      </c>
    </row>
    <row r="119" spans="2:11" ht="12" customHeight="1">
      <c r="B119" s="61" t="s">
        <v>38</v>
      </c>
      <c r="C119" s="224"/>
      <c r="D119" s="62"/>
      <c r="E119" s="62"/>
      <c r="F119" s="62"/>
      <c r="G119" s="56">
        <f>G118-G117</f>
        <v>15325766.143666729</v>
      </c>
    </row>
    <row r="120" spans="2:11" ht="12" customHeight="1">
      <c r="B120" s="50" t="s">
        <v>39</v>
      </c>
      <c r="C120" s="225"/>
      <c r="D120" s="51"/>
      <c r="E120" s="51"/>
      <c r="F120" s="51"/>
      <c r="G120" s="101"/>
    </row>
    <row r="121" spans="2:11" ht="12.75" customHeight="1" thickBot="1">
      <c r="B121" s="63"/>
      <c r="C121" s="225"/>
      <c r="D121" s="51"/>
      <c r="E121" s="51"/>
      <c r="F121" s="51"/>
      <c r="G121" s="101"/>
    </row>
    <row r="122" spans="2:11" ht="12" customHeight="1">
      <c r="B122" s="73" t="s">
        <v>40</v>
      </c>
      <c r="C122" s="226"/>
      <c r="D122" s="74"/>
      <c r="E122" s="74"/>
      <c r="F122" s="75"/>
      <c r="G122" s="101"/>
    </row>
    <row r="123" spans="2:11" ht="12" customHeight="1">
      <c r="B123" s="76" t="s">
        <v>41</v>
      </c>
      <c r="C123" s="227"/>
      <c r="D123" s="49"/>
      <c r="E123" s="49"/>
      <c r="F123" s="77"/>
      <c r="G123" s="101"/>
    </row>
    <row r="124" spans="2:11" ht="12" customHeight="1">
      <c r="B124" s="76" t="s">
        <v>42</v>
      </c>
      <c r="C124" s="227"/>
      <c r="D124" s="49"/>
      <c r="E124" s="49"/>
      <c r="F124" s="77"/>
      <c r="G124" s="101"/>
    </row>
    <row r="125" spans="2:11" ht="12" customHeight="1">
      <c r="B125" s="76" t="s">
        <v>43</v>
      </c>
      <c r="C125" s="227"/>
      <c r="D125" s="49"/>
      <c r="E125" s="49"/>
      <c r="F125" s="77"/>
      <c r="G125" s="101"/>
    </row>
    <row r="126" spans="2:11" ht="12" customHeight="1">
      <c r="B126" s="76" t="s">
        <v>44</v>
      </c>
      <c r="C126" s="227"/>
      <c r="D126" s="49"/>
      <c r="E126" s="49"/>
      <c r="F126" s="77"/>
      <c r="G126" s="101"/>
    </row>
    <row r="127" spans="2:11" ht="12" customHeight="1">
      <c r="B127" s="76" t="s">
        <v>45</v>
      </c>
      <c r="C127" s="227"/>
      <c r="D127" s="49"/>
      <c r="E127" s="49"/>
      <c r="F127" s="77"/>
      <c r="G127" s="101"/>
      <c r="K127" s="184"/>
    </row>
    <row r="128" spans="2:11" ht="12.75" customHeight="1" thickBot="1">
      <c r="B128" s="78" t="s">
        <v>46</v>
      </c>
      <c r="C128" s="228"/>
      <c r="D128" s="79"/>
      <c r="E128" s="79"/>
      <c r="F128" s="80"/>
      <c r="G128" s="101"/>
    </row>
    <row r="129" spans="2:7" ht="12.75" customHeight="1">
      <c r="B129" s="71"/>
      <c r="C129" s="227"/>
      <c r="D129" s="49"/>
      <c r="E129" s="49"/>
      <c r="F129" s="49"/>
      <c r="G129" s="101"/>
    </row>
    <row r="130" spans="2:7" ht="15" customHeight="1" thickBot="1">
      <c r="B130" s="350" t="s">
        <v>47</v>
      </c>
      <c r="C130" s="351"/>
      <c r="D130" s="70"/>
      <c r="E130" s="47"/>
      <c r="F130" s="352"/>
      <c r="G130" s="353"/>
    </row>
    <row r="131" spans="2:7" ht="12" customHeight="1">
      <c r="B131" s="65" t="s">
        <v>32</v>
      </c>
      <c r="C131" s="229" t="s">
        <v>120</v>
      </c>
      <c r="D131" s="123" t="s">
        <v>48</v>
      </c>
      <c r="E131" s="47"/>
      <c r="F131" s="248"/>
      <c r="G131" s="249"/>
    </row>
    <row r="132" spans="2:7" ht="12" customHeight="1">
      <c r="B132" s="66" t="s">
        <v>49</v>
      </c>
      <c r="C132" s="230">
        <f>G43</f>
        <v>31536000</v>
      </c>
      <c r="D132" s="67">
        <f>(C132/C138)</f>
        <v>0.7705932155869446</v>
      </c>
      <c r="E132" s="47"/>
      <c r="F132" s="248"/>
      <c r="G132" s="249"/>
    </row>
    <row r="133" spans="2:7" ht="12" customHeight="1">
      <c r="B133" s="66" t="s">
        <v>50</v>
      </c>
      <c r="C133" s="230">
        <f>G48</f>
        <v>0</v>
      </c>
      <c r="D133" s="67">
        <v>0</v>
      </c>
      <c r="E133" s="47"/>
      <c r="F133" s="248"/>
      <c r="G133" s="249"/>
    </row>
    <row r="134" spans="2:7" ht="12" customHeight="1">
      <c r="B134" s="66" t="s">
        <v>51</v>
      </c>
      <c r="C134" s="230">
        <f>G55</f>
        <v>4530510</v>
      </c>
      <c r="D134" s="67">
        <f>(C134/C138)</f>
        <v>0.11070460011253197</v>
      </c>
      <c r="E134" s="47"/>
      <c r="F134" s="248"/>
      <c r="G134" s="249"/>
    </row>
    <row r="135" spans="2:7" ht="12" customHeight="1">
      <c r="B135" s="66" t="s">
        <v>27</v>
      </c>
      <c r="C135" s="230">
        <f>G108</f>
        <v>39985</v>
      </c>
      <c r="D135" s="67">
        <f>(C135/C138)</f>
        <v>9.7704749255593548E-4</v>
      </c>
      <c r="E135" s="47"/>
      <c r="F135" s="248"/>
      <c r="G135" s="249"/>
    </row>
    <row r="136" spans="2:7" ht="12" customHeight="1">
      <c r="B136" s="66" t="s">
        <v>52</v>
      </c>
      <c r="C136" s="231">
        <f>G113</f>
        <v>1500000</v>
      </c>
      <c r="D136" s="67">
        <f>(C136/C138)</f>
        <v>3.6653025855543406E-2</v>
      </c>
      <c r="E136" s="48"/>
      <c r="F136" s="248"/>
      <c r="G136" s="249"/>
    </row>
    <row r="137" spans="2:7" ht="12" customHeight="1">
      <c r="B137" s="66" t="s">
        <v>53</v>
      </c>
      <c r="C137" s="231">
        <f>G116</f>
        <v>3317820.6598253939</v>
      </c>
      <c r="D137" s="67">
        <f>(C137/C138)</f>
        <v>8.107211095242417E-2</v>
      </c>
      <c r="E137" s="48"/>
      <c r="F137" s="250"/>
      <c r="G137" s="251"/>
    </row>
    <row r="138" spans="2:7" ht="12.75" customHeight="1" thickBot="1">
      <c r="B138" s="68" t="s">
        <v>54</v>
      </c>
      <c r="C138" s="232">
        <f>SUM(C132:C137)</f>
        <v>40924315.659825392</v>
      </c>
      <c r="D138" s="69">
        <f>SUM(D132:D137)</f>
        <v>1</v>
      </c>
      <c r="E138" s="48"/>
      <c r="F138" s="250"/>
      <c r="G138" s="251"/>
    </row>
    <row r="139" spans="2:7" ht="12" customHeight="1">
      <c r="B139" s="63"/>
      <c r="C139" s="225"/>
      <c r="D139" s="51"/>
      <c r="E139" s="51"/>
      <c r="F139" s="51"/>
      <c r="G139" s="101"/>
    </row>
    <row r="140" spans="2:7" ht="12.75" customHeight="1" thickBot="1">
      <c r="B140" s="64"/>
      <c r="C140" s="225"/>
      <c r="D140" s="51"/>
      <c r="E140" s="51"/>
      <c r="F140" s="51"/>
      <c r="G140" s="101"/>
    </row>
    <row r="141" spans="2:7" ht="12" customHeight="1" thickBot="1">
      <c r="B141" s="347" t="s">
        <v>168</v>
      </c>
      <c r="C141" s="348"/>
      <c r="D141" s="348"/>
      <c r="E141" s="349"/>
      <c r="F141" s="48"/>
      <c r="G141" s="101"/>
    </row>
    <row r="142" spans="2:7" ht="12" customHeight="1">
      <c r="B142" s="82" t="s">
        <v>166</v>
      </c>
      <c r="C142" s="233">
        <v>80000</v>
      </c>
      <c r="D142" s="115">
        <v>85000</v>
      </c>
      <c r="E142" s="115">
        <v>90000</v>
      </c>
      <c r="F142" s="81"/>
      <c r="G142" s="102"/>
    </row>
    <row r="143" spans="2:7" ht="12.75" customHeight="1" thickBot="1">
      <c r="B143" s="68" t="s">
        <v>167</v>
      </c>
      <c r="C143" s="234">
        <f>C138/C142</f>
        <v>511.55394574781741</v>
      </c>
      <c r="D143" s="193">
        <f>C138/D142</f>
        <v>481.46253717441635</v>
      </c>
      <c r="E143" s="194">
        <f>C138/E142</f>
        <v>454.71461844250433</v>
      </c>
      <c r="F143" s="81"/>
      <c r="G143" s="102"/>
    </row>
    <row r="144" spans="2:7" ht="15.6" customHeight="1">
      <c r="B144" s="72" t="s">
        <v>55</v>
      </c>
      <c r="C144" s="227"/>
      <c r="D144" s="49"/>
      <c r="E144" s="49"/>
      <c r="F144" s="49"/>
      <c r="G144" s="103"/>
    </row>
    <row r="148" spans="3:3" ht="11.25" customHeight="1">
      <c r="C148" s="252"/>
    </row>
  </sheetData>
  <mergeCells count="10">
    <mergeCell ref="E9:F9"/>
    <mergeCell ref="E14:F14"/>
    <mergeCell ref="E15:F15"/>
    <mergeCell ref="B17:G17"/>
    <mergeCell ref="B141:E141"/>
    <mergeCell ref="B130:C130"/>
    <mergeCell ref="E13:F13"/>
    <mergeCell ref="E11:F11"/>
    <mergeCell ref="E10:F10"/>
    <mergeCell ref="F130:G130"/>
  </mergeCells>
  <phoneticPr fontId="29" type="noConversion"/>
  <pageMargins left="0.25" right="0.25" top="0.14000000000000001" bottom="1.43" header="0.3" footer="0.3"/>
  <pageSetup paperSize="5" scale="92" fitToHeight="0" orientation="portrait" r:id="rId1"/>
  <headerFooter>
    <oddFooter>&amp;C&amp;"Helvetica Neue,Regular"&amp;12&amp;K000000&amp;P</oddFooter>
  </headerFooter>
  <rowBreaks count="1" manualBreakCount="1">
    <brk id="56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K145"/>
  <sheetViews>
    <sheetView showGridLines="0" view="pageBreakPreview" topLeftCell="B83" zoomScaleNormal="100" zoomScaleSheetLayoutView="100" workbookViewId="0">
      <selection activeCell="G116" sqref="G116"/>
    </sheetView>
  </sheetViews>
  <sheetFormatPr baseColWidth="10" defaultColWidth="10.85546875" defaultRowHeight="11.25" customHeight="1"/>
  <cols>
    <col min="1" max="1" width="0" hidden="1" customWidth="1"/>
    <col min="2" max="2" width="21.28515625" style="1" customWidth="1"/>
    <col min="3" max="3" width="24.28515625" style="235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104" customWidth="1"/>
    <col min="8" max="245" width="10.85546875" style="1" customWidth="1"/>
  </cols>
  <sheetData>
    <row r="1" spans="2:10" ht="15" customHeight="1">
      <c r="B1" s="2"/>
      <c r="C1" s="196"/>
      <c r="D1" s="2"/>
      <c r="E1" s="2"/>
      <c r="F1" s="2"/>
      <c r="G1" s="91"/>
    </row>
    <row r="2" spans="2:10" ht="15" customHeight="1">
      <c r="B2" s="2"/>
      <c r="C2" s="196"/>
      <c r="D2" s="2"/>
      <c r="E2" s="2"/>
      <c r="F2" s="2"/>
      <c r="G2" s="91"/>
    </row>
    <row r="3" spans="2:10" ht="15" customHeight="1">
      <c r="B3" s="2"/>
      <c r="C3" s="196"/>
      <c r="D3" s="2"/>
      <c r="E3" s="2"/>
      <c r="F3" s="2"/>
      <c r="G3" s="91"/>
    </row>
    <row r="4" spans="2:10" ht="15" customHeight="1">
      <c r="B4" s="2"/>
      <c r="C4" s="196"/>
      <c r="D4" s="2"/>
      <c r="E4" s="2"/>
      <c r="F4" s="2"/>
      <c r="G4" s="91"/>
    </row>
    <row r="5" spans="2:10" ht="15" customHeight="1">
      <c r="B5" s="2"/>
      <c r="C5" s="196"/>
      <c r="D5" s="2"/>
      <c r="E5" s="2"/>
      <c r="F5" s="2"/>
      <c r="G5" s="91"/>
    </row>
    <row r="6" spans="2:10" ht="15" customHeight="1">
      <c r="B6" s="2"/>
      <c r="C6" s="196"/>
      <c r="D6" s="2"/>
      <c r="E6" s="2"/>
      <c r="F6" s="2"/>
      <c r="G6" s="91"/>
    </row>
    <row r="7" spans="2:10" ht="15" customHeight="1">
      <c r="B7" s="2"/>
      <c r="C7" s="196"/>
      <c r="D7" s="2"/>
      <c r="E7" s="2"/>
      <c r="F7" s="2"/>
      <c r="G7" s="91"/>
    </row>
    <row r="8" spans="2:10" ht="15" customHeight="1">
      <c r="B8" s="3"/>
      <c r="C8" s="197"/>
      <c r="D8" s="2"/>
      <c r="E8" s="4"/>
      <c r="F8" s="4"/>
      <c r="G8" s="92"/>
    </row>
    <row r="9" spans="2:10" ht="12" customHeight="1">
      <c r="B9" s="5" t="s">
        <v>0</v>
      </c>
      <c r="C9" s="195" t="s">
        <v>140</v>
      </c>
      <c r="D9" s="6"/>
      <c r="E9" s="339" t="s">
        <v>142</v>
      </c>
      <c r="F9" s="340"/>
      <c r="G9" s="185">
        <v>85000</v>
      </c>
    </row>
    <row r="10" spans="2:10" ht="18" customHeight="1">
      <c r="B10" s="7" t="s">
        <v>1</v>
      </c>
      <c r="C10" s="198" t="s">
        <v>141</v>
      </c>
      <c r="D10" s="8"/>
      <c r="E10" s="341" t="s">
        <v>2</v>
      </c>
      <c r="F10" s="342"/>
      <c r="G10" s="186" t="s">
        <v>143</v>
      </c>
    </row>
    <row r="11" spans="2:10" ht="18" customHeight="1">
      <c r="B11" s="7" t="s">
        <v>3</v>
      </c>
      <c r="C11" s="127" t="s">
        <v>96</v>
      </c>
      <c r="D11" s="8"/>
      <c r="E11" s="341" t="s">
        <v>148</v>
      </c>
      <c r="F11" s="342"/>
      <c r="G11" s="187">
        <v>900</v>
      </c>
    </row>
    <row r="12" spans="2:10" ht="11.25" customHeight="1">
      <c r="B12" s="7" t="s">
        <v>4</v>
      </c>
      <c r="C12" s="199" t="s">
        <v>60</v>
      </c>
      <c r="D12" s="8"/>
      <c r="E12" s="10" t="s">
        <v>5</v>
      </c>
      <c r="F12" s="11"/>
      <c r="G12" s="188">
        <f>G9*G11</f>
        <v>76500000</v>
      </c>
    </row>
    <row r="13" spans="2:10" ht="11.25" customHeight="1">
      <c r="B13" s="7" t="s">
        <v>6</v>
      </c>
      <c r="C13" s="199" t="s">
        <v>165</v>
      </c>
      <c r="D13" s="8"/>
      <c r="E13" s="341" t="s">
        <v>7</v>
      </c>
      <c r="F13" s="342"/>
      <c r="G13" s="186" t="s">
        <v>144</v>
      </c>
    </row>
    <row r="14" spans="2:10" ht="13.5" customHeight="1">
      <c r="B14" s="7" t="s">
        <v>8</v>
      </c>
      <c r="C14" s="199" t="s">
        <v>165</v>
      </c>
      <c r="D14" s="8"/>
      <c r="E14" s="341" t="s">
        <v>9</v>
      </c>
      <c r="F14" s="342"/>
      <c r="G14" s="127" t="s">
        <v>143</v>
      </c>
    </row>
    <row r="15" spans="2:10" ht="25.5" customHeight="1">
      <c r="B15" s="7" t="s">
        <v>10</v>
      </c>
      <c r="C15" s="200">
        <v>44713</v>
      </c>
      <c r="D15" s="8"/>
      <c r="E15" s="343" t="s">
        <v>11</v>
      </c>
      <c r="F15" s="344"/>
      <c r="G15" s="127" t="s">
        <v>127</v>
      </c>
      <c r="J15" s="1">
        <f>120*14</f>
        <v>1680</v>
      </c>
    </row>
    <row r="16" spans="2:10" ht="12" customHeight="1">
      <c r="B16" s="12"/>
      <c r="C16" s="201"/>
      <c r="D16" s="13"/>
      <c r="E16" s="14"/>
      <c r="F16" s="14"/>
      <c r="G16" s="93"/>
    </row>
    <row r="17" spans="2:10" ht="12" customHeight="1">
      <c r="B17" s="345" t="s">
        <v>12</v>
      </c>
      <c r="C17" s="346"/>
      <c r="D17" s="346"/>
      <c r="E17" s="346"/>
      <c r="F17" s="346"/>
      <c r="G17" s="346"/>
      <c r="J17" s="337">
        <f>G11/14</f>
        <v>64.285714285714292</v>
      </c>
    </row>
    <row r="18" spans="2:10" ht="12" customHeight="1">
      <c r="B18" s="15"/>
      <c r="C18" s="202"/>
      <c r="D18" s="16"/>
      <c r="E18" s="16"/>
      <c r="F18" s="17"/>
      <c r="G18" s="94"/>
    </row>
    <row r="19" spans="2:10" ht="12" customHeight="1">
      <c r="B19" s="18" t="s">
        <v>13</v>
      </c>
      <c r="C19" s="203"/>
      <c r="D19" s="19"/>
      <c r="E19" s="19"/>
      <c r="F19" s="19"/>
      <c r="G19" s="95"/>
    </row>
    <row r="20" spans="2:10" ht="24" customHeight="1">
      <c r="B20" s="20" t="s">
        <v>14</v>
      </c>
      <c r="C20" s="20" t="s">
        <v>15</v>
      </c>
      <c r="D20" s="20" t="s">
        <v>16</v>
      </c>
      <c r="E20" s="20" t="s">
        <v>17</v>
      </c>
      <c r="F20" s="20" t="s">
        <v>18</v>
      </c>
      <c r="G20" s="20" t="s">
        <v>19</v>
      </c>
    </row>
    <row r="21" spans="2:10" ht="12.75" customHeight="1">
      <c r="B21" s="9"/>
      <c r="C21" s="21"/>
      <c r="D21" s="84"/>
      <c r="E21" s="21"/>
      <c r="F21" s="116"/>
      <c r="G21" s="116"/>
    </row>
    <row r="22" spans="2:10" ht="24.75" customHeight="1">
      <c r="B22" s="126" t="s">
        <v>101</v>
      </c>
      <c r="C22" s="21"/>
      <c r="D22" s="84"/>
      <c r="E22" s="21"/>
      <c r="F22" s="116"/>
      <c r="G22" s="116"/>
    </row>
    <row r="23" spans="2:10" ht="28.5" customHeight="1">
      <c r="B23" s="143" t="s">
        <v>125</v>
      </c>
      <c r="C23" s="143" t="s">
        <v>20</v>
      </c>
      <c r="D23" s="144">
        <v>18</v>
      </c>
      <c r="E23" s="143" t="s">
        <v>61</v>
      </c>
      <c r="F23" s="145">
        <v>75000</v>
      </c>
      <c r="G23" s="145">
        <f>D23*F23/2</f>
        <v>675000</v>
      </c>
    </row>
    <row r="24" spans="2:10" ht="12.75" customHeight="1">
      <c r="B24" s="139"/>
      <c r="C24" s="140"/>
      <c r="D24" s="141"/>
      <c r="E24" s="140"/>
      <c r="F24" s="142"/>
      <c r="G24" s="142"/>
    </row>
    <row r="25" spans="2:10" ht="25.5" customHeight="1">
      <c r="B25" s="146" t="s">
        <v>102</v>
      </c>
      <c r="C25" s="21"/>
      <c r="D25" s="84"/>
      <c r="E25" s="21"/>
      <c r="F25" s="116"/>
      <c r="G25" s="116"/>
    </row>
    <row r="26" spans="2:10" ht="12.75" customHeight="1">
      <c r="B26" s="178" t="s">
        <v>63</v>
      </c>
      <c r="C26" s="204" t="s">
        <v>20</v>
      </c>
      <c r="D26" s="131">
        <f>4*6/2</f>
        <v>12</v>
      </c>
      <c r="E26" s="131" t="s">
        <v>64</v>
      </c>
      <c r="F26" s="130">
        <v>27000</v>
      </c>
      <c r="G26" s="132">
        <f>D26*F26</f>
        <v>324000</v>
      </c>
    </row>
    <row r="27" spans="2:10" ht="12.75" customHeight="1">
      <c r="B27" s="178" t="s">
        <v>65</v>
      </c>
      <c r="C27" s="128" t="s">
        <v>20</v>
      </c>
      <c r="D27" s="131">
        <f>1*6/2</f>
        <v>3</v>
      </c>
      <c r="E27" s="131" t="s">
        <v>64</v>
      </c>
      <c r="F27" s="130">
        <v>27000</v>
      </c>
      <c r="G27" s="132">
        <f t="shared" ref="G27" si="0">D27*F27</f>
        <v>81000</v>
      </c>
    </row>
    <row r="28" spans="2:10" ht="12.75" customHeight="1">
      <c r="B28" s="178" t="s">
        <v>66</v>
      </c>
      <c r="C28" s="204" t="s">
        <v>20</v>
      </c>
      <c r="D28" s="131">
        <f>2/8*4/2</f>
        <v>0.5</v>
      </c>
      <c r="E28" s="131" t="s">
        <v>64</v>
      </c>
      <c r="F28" s="130">
        <v>27000</v>
      </c>
      <c r="G28" s="132">
        <f>D28*F28</f>
        <v>13500</v>
      </c>
    </row>
    <row r="29" spans="2:10" ht="12.75" customHeight="1">
      <c r="B29" s="178" t="s">
        <v>67</v>
      </c>
      <c r="C29" s="128" t="s">
        <v>20</v>
      </c>
      <c r="D29" s="129">
        <v>11</v>
      </c>
      <c r="E29" s="131" t="s">
        <v>68</v>
      </c>
      <c r="F29" s="130">
        <v>27000</v>
      </c>
      <c r="G29" s="132">
        <f t="shared" ref="G29:G30" si="1">D29*F29</f>
        <v>297000</v>
      </c>
    </row>
    <row r="30" spans="2:10" ht="12.75" customHeight="1">
      <c r="B30" s="135" t="s">
        <v>97</v>
      </c>
      <c r="C30" s="128" t="s">
        <v>20</v>
      </c>
      <c r="D30" s="129">
        <v>550</v>
      </c>
      <c r="E30" s="129" t="s">
        <v>122</v>
      </c>
      <c r="F30" s="130">
        <v>27000</v>
      </c>
      <c r="G30" s="132">
        <f t="shared" si="1"/>
        <v>14850000</v>
      </c>
    </row>
    <row r="31" spans="2:10" ht="12.75" customHeight="1">
      <c r="B31" s="178" t="s">
        <v>70</v>
      </c>
      <c r="C31" s="204" t="s">
        <v>20</v>
      </c>
      <c r="D31" s="131">
        <f>0.5*4*8+0.5*2*9</f>
        <v>25</v>
      </c>
      <c r="E31" s="131" t="s">
        <v>123</v>
      </c>
      <c r="F31" s="130">
        <v>27000</v>
      </c>
      <c r="G31" s="132">
        <f>D31*F31</f>
        <v>675000</v>
      </c>
    </row>
    <row r="32" spans="2:10" ht="12.75" customHeight="1">
      <c r="B32" s="135" t="s">
        <v>71</v>
      </c>
      <c r="C32" s="128" t="s">
        <v>20</v>
      </c>
      <c r="D32" s="133">
        <f>1.5/8*4+3/8*6*8+3*4*4</f>
        <v>66.75</v>
      </c>
      <c r="E32" s="129" t="s">
        <v>72</v>
      </c>
      <c r="F32" s="130">
        <v>27000</v>
      </c>
      <c r="G32" s="130">
        <f>D32*F32</f>
        <v>1802250</v>
      </c>
    </row>
    <row r="33" spans="2:7" ht="12.75" customHeight="1">
      <c r="B33" s="135" t="s">
        <v>73</v>
      </c>
      <c r="C33" s="128" t="s">
        <v>20</v>
      </c>
      <c r="D33" s="129">
        <f>40/60/8*30*3.5</f>
        <v>8.75</v>
      </c>
      <c r="E33" s="129" t="s">
        <v>72</v>
      </c>
      <c r="F33" s="130">
        <v>27000</v>
      </c>
      <c r="G33" s="130">
        <f t="shared" ref="G33:G36" si="2">D33*F33</f>
        <v>236250</v>
      </c>
    </row>
    <row r="34" spans="2:7" ht="12.75" customHeight="1">
      <c r="B34" s="134" t="s">
        <v>74</v>
      </c>
      <c r="C34" s="128" t="s">
        <v>20</v>
      </c>
      <c r="D34" s="129">
        <f>0.5*4*6</f>
        <v>12</v>
      </c>
      <c r="E34" s="129" t="s">
        <v>72</v>
      </c>
      <c r="F34" s="130">
        <v>27000</v>
      </c>
      <c r="G34" s="130">
        <f t="shared" si="2"/>
        <v>324000</v>
      </c>
    </row>
    <row r="35" spans="2:7" ht="12.75" customHeight="1">
      <c r="B35" s="134" t="s">
        <v>75</v>
      </c>
      <c r="C35" s="128" t="s">
        <v>20</v>
      </c>
      <c r="D35" s="129">
        <v>24</v>
      </c>
      <c r="E35" s="129" t="s">
        <v>124</v>
      </c>
      <c r="F35" s="130">
        <v>27000</v>
      </c>
      <c r="G35" s="130">
        <f t="shared" si="2"/>
        <v>648000</v>
      </c>
    </row>
    <row r="36" spans="2:7" ht="12.75" customHeight="1">
      <c r="B36" s="134" t="s">
        <v>76</v>
      </c>
      <c r="C36" s="128" t="s">
        <v>20</v>
      </c>
      <c r="D36" s="129">
        <v>20</v>
      </c>
      <c r="E36" s="129" t="s">
        <v>121</v>
      </c>
      <c r="F36" s="130">
        <v>27000</v>
      </c>
      <c r="G36" s="130">
        <f t="shared" si="2"/>
        <v>540000</v>
      </c>
    </row>
    <row r="37" spans="2:7" ht="12.75" customHeight="1">
      <c r="B37" s="128"/>
      <c r="C37" s="128"/>
      <c r="D37" s="129"/>
      <c r="E37" s="129"/>
      <c r="F37" s="132"/>
      <c r="G37" s="130"/>
    </row>
    <row r="38" spans="2:7" ht="12.75" customHeight="1">
      <c r="B38" s="146" t="s">
        <v>103</v>
      </c>
      <c r="C38" s="147"/>
      <c r="D38" s="148"/>
      <c r="E38" s="147"/>
      <c r="F38" s="149"/>
      <c r="G38" s="149"/>
    </row>
    <row r="39" spans="2:7" ht="12.75" customHeight="1">
      <c r="B39" s="150" t="s">
        <v>98</v>
      </c>
      <c r="C39" s="147" t="s">
        <v>20</v>
      </c>
      <c r="D39" s="148">
        <v>270</v>
      </c>
      <c r="E39" s="147" t="s">
        <v>145</v>
      </c>
      <c r="F39" s="149">
        <v>27000</v>
      </c>
      <c r="G39" s="149">
        <f t="shared" ref="G39:G41" si="3">D39*F39</f>
        <v>7290000</v>
      </c>
    </row>
    <row r="40" spans="2:7" ht="12.75" customHeight="1">
      <c r="B40" s="146" t="s">
        <v>104</v>
      </c>
      <c r="C40" s="147"/>
      <c r="D40" s="148"/>
      <c r="E40" s="147"/>
      <c r="F40" s="149"/>
      <c r="G40" s="149"/>
    </row>
    <row r="41" spans="2:7" ht="12.75" customHeight="1">
      <c r="B41" s="150" t="s">
        <v>105</v>
      </c>
      <c r="C41" s="147" t="s">
        <v>20</v>
      </c>
      <c r="D41" s="148">
        <v>140</v>
      </c>
      <c r="E41" s="147" t="s">
        <v>145</v>
      </c>
      <c r="F41" s="149">
        <v>27000</v>
      </c>
      <c r="G41" s="149">
        <f t="shared" si="3"/>
        <v>3780000</v>
      </c>
    </row>
    <row r="42" spans="2:7" ht="12.75" customHeight="1">
      <c r="B42" s="150"/>
      <c r="C42" s="147"/>
      <c r="D42" s="148"/>
      <c r="E42" s="147"/>
      <c r="F42" s="149"/>
      <c r="G42" s="149"/>
    </row>
    <row r="43" spans="2:7" ht="12.75" customHeight="1">
      <c r="B43" s="22" t="s">
        <v>21</v>
      </c>
      <c r="C43" s="205"/>
      <c r="D43" s="23"/>
      <c r="E43" s="23"/>
      <c r="F43" s="24"/>
      <c r="G43" s="117">
        <f>SUM(G21:G42)</f>
        <v>31536000</v>
      </c>
    </row>
    <row r="44" spans="2:7" ht="12" customHeight="1">
      <c r="B44" s="15"/>
      <c r="C44" s="206"/>
      <c r="D44" s="17"/>
      <c r="E44" s="17"/>
      <c r="F44" s="25"/>
      <c r="G44" s="96"/>
    </row>
    <row r="45" spans="2:7" ht="12" customHeight="1">
      <c r="B45" s="26" t="s">
        <v>22</v>
      </c>
      <c r="C45" s="207"/>
      <c r="D45" s="27"/>
      <c r="E45" s="27"/>
      <c r="F45" s="28"/>
      <c r="G45" s="97"/>
    </row>
    <row r="46" spans="2:7" ht="24" customHeight="1">
      <c r="B46" s="29" t="s">
        <v>14</v>
      </c>
      <c r="C46" s="30" t="s">
        <v>15</v>
      </c>
      <c r="D46" s="30" t="s">
        <v>16</v>
      </c>
      <c r="E46" s="29" t="s">
        <v>56</v>
      </c>
      <c r="F46" s="30" t="s">
        <v>18</v>
      </c>
      <c r="G46" s="29" t="s">
        <v>19</v>
      </c>
    </row>
    <row r="47" spans="2:7" ht="12" customHeight="1">
      <c r="B47" s="31" t="s">
        <v>77</v>
      </c>
      <c r="C47" s="208" t="s">
        <v>77</v>
      </c>
      <c r="D47" s="31" t="s">
        <v>77</v>
      </c>
      <c r="E47" s="31" t="s">
        <v>77</v>
      </c>
      <c r="F47" s="83"/>
      <c r="G47" s="119"/>
    </row>
    <row r="48" spans="2:7" ht="12" customHeight="1">
      <c r="B48" s="32" t="s">
        <v>23</v>
      </c>
      <c r="C48" s="209"/>
      <c r="D48" s="33"/>
      <c r="E48" s="33"/>
      <c r="F48" s="34"/>
      <c r="G48" s="120"/>
    </row>
    <row r="49" spans="2:7" ht="12" customHeight="1">
      <c r="B49" s="35"/>
      <c r="C49" s="210"/>
      <c r="D49" s="36"/>
      <c r="E49" s="36"/>
      <c r="F49" s="37"/>
      <c r="G49" s="98"/>
    </row>
    <row r="50" spans="2:7" ht="12" customHeight="1">
      <c r="B50" s="26" t="s">
        <v>24</v>
      </c>
      <c r="C50" s="207"/>
      <c r="D50" s="27"/>
      <c r="E50" s="27"/>
      <c r="F50" s="28"/>
      <c r="G50" s="97"/>
    </row>
    <row r="51" spans="2:7" ht="24" customHeight="1">
      <c r="B51" s="38" t="s">
        <v>14</v>
      </c>
      <c r="C51" s="39" t="s">
        <v>15</v>
      </c>
      <c r="D51" s="38" t="s">
        <v>16</v>
      </c>
      <c r="E51" s="38" t="s">
        <v>17</v>
      </c>
      <c r="F51" s="39" t="s">
        <v>18</v>
      </c>
      <c r="G51" s="38" t="s">
        <v>19</v>
      </c>
    </row>
    <row r="52" spans="2:7" ht="31.5" customHeight="1">
      <c r="B52" s="182" t="s">
        <v>126</v>
      </c>
      <c r="C52" s="179" t="s">
        <v>78</v>
      </c>
      <c r="D52" s="180">
        <f>14.5+12</f>
        <v>26.5</v>
      </c>
      <c r="E52" s="179" t="s">
        <v>68</v>
      </c>
      <c r="F52" s="181">
        <f>18000*1.19</f>
        <v>21420</v>
      </c>
      <c r="G52" s="181">
        <f>D52*F52</f>
        <v>567630</v>
      </c>
    </row>
    <row r="53" spans="2:7" ht="30.75" customHeight="1">
      <c r="B53" s="182" t="s">
        <v>79</v>
      </c>
      <c r="C53" s="179" t="s">
        <v>80</v>
      </c>
      <c r="D53" s="180">
        <f>120*48</f>
        <v>5760</v>
      </c>
      <c r="E53" s="179" t="s">
        <v>68</v>
      </c>
      <c r="F53" s="181">
        <f>1800000/D53</f>
        <v>312.5</v>
      </c>
      <c r="G53" s="181">
        <f>D53*F53</f>
        <v>1800000</v>
      </c>
    </row>
    <row r="54" spans="2:7" ht="12.75" customHeight="1">
      <c r="B54" s="9"/>
      <c r="C54" s="21"/>
      <c r="D54" s="84"/>
      <c r="E54" s="21"/>
      <c r="F54" s="116"/>
      <c r="G54" s="116"/>
    </row>
    <row r="55" spans="2:7" ht="12.75" customHeight="1">
      <c r="B55" s="40" t="s">
        <v>25</v>
      </c>
      <c r="C55" s="211"/>
      <c r="D55" s="41"/>
      <c r="E55" s="41"/>
      <c r="F55" s="41"/>
      <c r="G55" s="118">
        <f>G52+G53+G54</f>
        <v>2367630</v>
      </c>
    </row>
    <row r="56" spans="2:7" ht="12" customHeight="1">
      <c r="B56" s="35"/>
      <c r="C56" s="210"/>
      <c r="D56" s="36"/>
      <c r="E56" s="36"/>
      <c r="F56" s="37"/>
      <c r="G56" s="98"/>
    </row>
    <row r="57" spans="2:7" ht="12" customHeight="1">
      <c r="B57" s="26" t="s">
        <v>26</v>
      </c>
      <c r="C57" s="207"/>
      <c r="D57" s="27"/>
      <c r="E57" s="27"/>
      <c r="F57" s="28"/>
      <c r="G57" s="97"/>
    </row>
    <row r="58" spans="2:7" ht="24" customHeight="1">
      <c r="B58" s="86" t="s">
        <v>27</v>
      </c>
      <c r="C58" s="86" t="s">
        <v>28</v>
      </c>
      <c r="D58" s="86" t="s">
        <v>29</v>
      </c>
      <c r="E58" s="86" t="s">
        <v>17</v>
      </c>
      <c r="F58" s="86" t="s">
        <v>18</v>
      </c>
      <c r="G58" s="99" t="s">
        <v>19</v>
      </c>
    </row>
    <row r="59" spans="2:7" ht="12.75" customHeight="1">
      <c r="B59" s="124" t="s">
        <v>106</v>
      </c>
      <c r="C59" s="89"/>
      <c r="D59" s="88"/>
      <c r="E59" s="89"/>
      <c r="F59" s="89"/>
      <c r="G59" s="88"/>
    </row>
    <row r="60" spans="2:7" ht="26.25" customHeight="1">
      <c r="B60" s="157" t="s">
        <v>128</v>
      </c>
      <c r="C60" s="157" t="s">
        <v>59</v>
      </c>
      <c r="D60" s="159">
        <f>2850-500</f>
        <v>2350</v>
      </c>
      <c r="E60" s="158" t="s">
        <v>62</v>
      </c>
      <c r="F60" s="160">
        <v>631</v>
      </c>
      <c r="G60" s="160">
        <f>D60*F60/2</f>
        <v>741425</v>
      </c>
    </row>
    <row r="61" spans="2:7" ht="31.5" customHeight="1">
      <c r="B61" s="155" t="s">
        <v>129</v>
      </c>
      <c r="C61" s="157" t="s">
        <v>81</v>
      </c>
      <c r="D61" s="159">
        <v>500</v>
      </c>
      <c r="E61" s="158" t="s">
        <v>62</v>
      </c>
      <c r="F61" s="160">
        <f>2950*1.19</f>
        <v>3510.5</v>
      </c>
      <c r="G61" s="160">
        <f>D61*F61</f>
        <v>1755250</v>
      </c>
    </row>
    <row r="62" spans="2:7" ht="27.75" customHeight="1">
      <c r="B62" s="155" t="s">
        <v>130</v>
      </c>
      <c r="C62" s="157" t="s">
        <v>59</v>
      </c>
      <c r="D62" s="159">
        <v>330</v>
      </c>
      <c r="E62" s="158" t="s">
        <v>62</v>
      </c>
      <c r="F62" s="160">
        <f>3700*1.19</f>
        <v>4403</v>
      </c>
      <c r="G62" s="160">
        <f>D62*F62/2</f>
        <v>726495</v>
      </c>
    </row>
    <row r="63" spans="2:7" ht="30" customHeight="1">
      <c r="B63" s="155" t="s">
        <v>133</v>
      </c>
      <c r="C63" s="157" t="s">
        <v>59</v>
      </c>
      <c r="D63" s="159">
        <v>230</v>
      </c>
      <c r="E63" s="158" t="s">
        <v>62</v>
      </c>
      <c r="F63" s="160">
        <f>3700*1.19</f>
        <v>4403</v>
      </c>
      <c r="G63" s="160">
        <f>D63*F63/2</f>
        <v>506345</v>
      </c>
    </row>
    <row r="64" spans="2:7" ht="30" customHeight="1">
      <c r="B64" s="155" t="s">
        <v>132</v>
      </c>
      <c r="C64" s="157" t="s">
        <v>59</v>
      </c>
      <c r="D64" s="159">
        <v>215</v>
      </c>
      <c r="E64" s="158" t="s">
        <v>62</v>
      </c>
      <c r="F64" s="160">
        <f>3700*1.19</f>
        <v>4403</v>
      </c>
      <c r="G64" s="160">
        <f>D64*F64/2</f>
        <v>473322.5</v>
      </c>
    </row>
    <row r="65" spans="2:7" ht="29.25" customHeight="1">
      <c r="B65" s="155" t="s">
        <v>131</v>
      </c>
      <c r="C65" s="157" t="s">
        <v>59</v>
      </c>
      <c r="D65" s="159">
        <v>80</v>
      </c>
      <c r="E65" s="158" t="s">
        <v>62</v>
      </c>
      <c r="F65" s="160">
        <f>2950*1.19</f>
        <v>3510.5</v>
      </c>
      <c r="G65" s="160">
        <f>D65*F65/1</f>
        <v>280840</v>
      </c>
    </row>
    <row r="66" spans="2:7" ht="27" customHeight="1">
      <c r="B66" s="155" t="s">
        <v>134</v>
      </c>
      <c r="C66" s="157" t="s">
        <v>107</v>
      </c>
      <c r="D66" s="159">
        <v>14</v>
      </c>
      <c r="E66" s="158" t="s">
        <v>62</v>
      </c>
      <c r="F66" s="160">
        <v>250000</v>
      </c>
      <c r="G66" s="160">
        <f>D66*F66/4</f>
        <v>875000</v>
      </c>
    </row>
    <row r="67" spans="2:7" ht="36.75" customHeight="1">
      <c r="B67" s="161" t="s">
        <v>135</v>
      </c>
      <c r="C67" s="175" t="s">
        <v>108</v>
      </c>
      <c r="D67" s="162">
        <v>4</v>
      </c>
      <c r="E67" s="158" t="s">
        <v>62</v>
      </c>
      <c r="F67" s="163">
        <v>52836</v>
      </c>
      <c r="G67" s="164">
        <f>D67*F67/4</f>
        <v>52836</v>
      </c>
    </row>
    <row r="68" spans="2:7" ht="36.75" customHeight="1">
      <c r="B68" s="155" t="s">
        <v>136</v>
      </c>
      <c r="C68" s="157" t="s">
        <v>59</v>
      </c>
      <c r="D68" s="159">
        <v>420</v>
      </c>
      <c r="E68" s="158" t="s">
        <v>62</v>
      </c>
      <c r="F68" s="160">
        <f>2950*1.19</f>
        <v>3510.5</v>
      </c>
      <c r="G68" s="160">
        <f>D68*F68</f>
        <v>1474410</v>
      </c>
    </row>
    <row r="69" spans="2:7" ht="12.75" customHeight="1">
      <c r="B69" s="165" t="s">
        <v>109</v>
      </c>
      <c r="C69" s="212"/>
      <c r="D69" s="167"/>
      <c r="E69" s="166"/>
      <c r="F69" s="168"/>
      <c r="G69" s="168"/>
    </row>
    <row r="70" spans="2:7" ht="34.5" customHeight="1">
      <c r="B70" s="169" t="s">
        <v>137</v>
      </c>
      <c r="C70" s="157" t="s">
        <v>80</v>
      </c>
      <c r="D70" s="159">
        <v>11520</v>
      </c>
      <c r="E70" s="158" t="s">
        <v>69</v>
      </c>
      <c r="F70" s="160">
        <f>42*1.19</f>
        <v>49.98</v>
      </c>
      <c r="G70" s="160">
        <f>D70*F70/1</f>
        <v>575769.59999999998</v>
      </c>
    </row>
    <row r="71" spans="2:7" ht="25.5" customHeight="1">
      <c r="B71" s="155" t="s">
        <v>82</v>
      </c>
      <c r="C71" s="213" t="s">
        <v>59</v>
      </c>
      <c r="D71" s="156">
        <v>40.510127531882972</v>
      </c>
      <c r="E71" s="152" t="s">
        <v>95</v>
      </c>
      <c r="F71" s="154">
        <f>4202*1.19</f>
        <v>5000.38</v>
      </c>
      <c r="G71" s="154">
        <f t="shared" ref="G71" si="4">D71*F71</f>
        <v>202566.03150787699</v>
      </c>
    </row>
    <row r="72" spans="2:7" ht="27" customHeight="1">
      <c r="B72" s="155" t="s">
        <v>138</v>
      </c>
      <c r="C72" s="213" t="s">
        <v>110</v>
      </c>
      <c r="D72" s="156">
        <v>1</v>
      </c>
      <c r="E72" s="152" t="s">
        <v>111</v>
      </c>
      <c r="F72" s="154">
        <v>10000000</v>
      </c>
      <c r="G72" s="154">
        <f>D72*F72/4</f>
        <v>2500000</v>
      </c>
    </row>
    <row r="73" spans="2:7" ht="12.75" customHeight="1">
      <c r="B73" s="124" t="s">
        <v>146</v>
      </c>
      <c r="C73" s="214"/>
      <c r="D73" s="87"/>
      <c r="E73" s="85"/>
      <c r="F73" s="88"/>
      <c r="G73" s="88"/>
    </row>
    <row r="74" spans="2:7" ht="12.75" customHeight="1">
      <c r="B74" s="183" t="s">
        <v>147</v>
      </c>
      <c r="C74" s="215" t="s">
        <v>58</v>
      </c>
      <c r="D74" s="136">
        <v>28000</v>
      </c>
      <c r="E74" s="138" t="s">
        <v>68</v>
      </c>
      <c r="F74" s="137">
        <v>210</v>
      </c>
      <c r="G74" s="137">
        <f>D74*F74</f>
        <v>5880000</v>
      </c>
    </row>
    <row r="75" spans="2:7" ht="12.75" customHeight="1">
      <c r="B75" s="169"/>
      <c r="C75" s="213"/>
      <c r="D75" s="153"/>
      <c r="E75" s="152"/>
      <c r="F75" s="154"/>
      <c r="G75" s="154"/>
    </row>
    <row r="76" spans="2:7" ht="12.75" customHeight="1">
      <c r="B76" s="125" t="s">
        <v>57</v>
      </c>
      <c r="C76" s="214"/>
      <c r="D76" s="87"/>
      <c r="E76" s="85"/>
      <c r="F76" s="88"/>
      <c r="G76" s="88"/>
    </row>
    <row r="77" spans="2:7" ht="12.75" customHeight="1">
      <c r="B77" s="151" t="s">
        <v>83</v>
      </c>
      <c r="C77" s="213" t="s">
        <v>84</v>
      </c>
      <c r="D77" s="153">
        <v>50</v>
      </c>
      <c r="E77" s="152" t="s">
        <v>68</v>
      </c>
      <c r="F77" s="154">
        <v>8000</v>
      </c>
      <c r="G77" s="154">
        <f t="shared" ref="G77:G84" si="5">D77*F77</f>
        <v>400000</v>
      </c>
    </row>
    <row r="78" spans="2:7" ht="12.75" customHeight="1">
      <c r="B78" s="151" t="s">
        <v>85</v>
      </c>
      <c r="C78" s="213" t="s">
        <v>81</v>
      </c>
      <c r="D78" s="153">
        <v>200</v>
      </c>
      <c r="E78" s="152" t="s">
        <v>68</v>
      </c>
      <c r="F78" s="154">
        <f>897*1.19</f>
        <v>1067.43</v>
      </c>
      <c r="G78" s="154">
        <f t="shared" si="5"/>
        <v>213486</v>
      </c>
    </row>
    <row r="79" spans="2:7" ht="12.75" customHeight="1">
      <c r="B79" s="151" t="s">
        <v>86</v>
      </c>
      <c r="C79" s="213" t="s">
        <v>81</v>
      </c>
      <c r="D79" s="153">
        <v>100</v>
      </c>
      <c r="E79" s="152" t="s">
        <v>87</v>
      </c>
      <c r="F79" s="154">
        <f>2020*1.19</f>
        <v>2403.7999999999997</v>
      </c>
      <c r="G79" s="154">
        <f t="shared" si="5"/>
        <v>240379.99999999997</v>
      </c>
    </row>
    <row r="80" spans="2:7" ht="12.75" customHeight="1">
      <c r="B80" s="151" t="s">
        <v>88</v>
      </c>
      <c r="C80" s="213" t="s">
        <v>89</v>
      </c>
      <c r="D80" s="153">
        <v>1000</v>
      </c>
      <c r="E80" s="152" t="s">
        <v>72</v>
      </c>
      <c r="F80" s="154">
        <f>1495*1.19</f>
        <v>1779.05</v>
      </c>
      <c r="G80" s="154">
        <f t="shared" si="5"/>
        <v>1779050</v>
      </c>
    </row>
    <row r="81" spans="2:7" ht="12.75" customHeight="1">
      <c r="B81" s="151" t="s">
        <v>90</v>
      </c>
      <c r="C81" s="213" t="s">
        <v>81</v>
      </c>
      <c r="D81" s="153">
        <v>300</v>
      </c>
      <c r="E81" s="152" t="s">
        <v>72</v>
      </c>
      <c r="F81" s="154">
        <f>666*1.19</f>
        <v>792.54</v>
      </c>
      <c r="G81" s="154">
        <f t="shared" si="5"/>
        <v>237762</v>
      </c>
    </row>
    <row r="82" spans="2:7" ht="12.75" customHeight="1">
      <c r="B82" s="151" t="s">
        <v>91</v>
      </c>
      <c r="C82" s="213" t="s">
        <v>81</v>
      </c>
      <c r="D82" s="153">
        <v>100</v>
      </c>
      <c r="E82" s="152" t="s">
        <v>72</v>
      </c>
      <c r="F82" s="154">
        <f>598*1.19</f>
        <v>711.62</v>
      </c>
      <c r="G82" s="154">
        <f t="shared" si="5"/>
        <v>71162</v>
      </c>
    </row>
    <row r="83" spans="2:7" ht="12.75" customHeight="1">
      <c r="B83" s="151" t="s">
        <v>92</v>
      </c>
      <c r="C83" s="213" t="s">
        <v>81</v>
      </c>
      <c r="D83" s="153">
        <v>100</v>
      </c>
      <c r="E83" s="152" t="s">
        <v>72</v>
      </c>
      <c r="F83" s="154">
        <f>1610*1.19</f>
        <v>1915.8999999999999</v>
      </c>
      <c r="G83" s="154">
        <f t="shared" si="5"/>
        <v>191590</v>
      </c>
    </row>
    <row r="84" spans="2:7" ht="12.75" customHeight="1">
      <c r="B84" s="151" t="s">
        <v>93</v>
      </c>
      <c r="C84" s="213" t="s">
        <v>81</v>
      </c>
      <c r="D84" s="153">
        <v>100</v>
      </c>
      <c r="E84" s="152" t="s">
        <v>72</v>
      </c>
      <c r="F84" s="154">
        <f>1610*1.19</f>
        <v>1915.8999999999999</v>
      </c>
      <c r="G84" s="154">
        <f t="shared" si="5"/>
        <v>191590</v>
      </c>
    </row>
    <row r="85" spans="2:7" ht="12.75" customHeight="1">
      <c r="B85" s="151"/>
      <c r="C85" s="213"/>
      <c r="D85" s="153"/>
      <c r="E85" s="152"/>
      <c r="F85" s="154"/>
      <c r="G85" s="154"/>
    </row>
    <row r="86" spans="2:7" ht="12.75" customHeight="1">
      <c r="B86" s="124" t="s">
        <v>112</v>
      </c>
      <c r="C86" s="85"/>
      <c r="D86" s="87"/>
      <c r="E86" s="85"/>
      <c r="F86" s="88"/>
      <c r="G86" s="88"/>
    </row>
    <row r="87" spans="2:7" ht="12.75" customHeight="1">
      <c r="B87" s="170" t="s">
        <v>94</v>
      </c>
      <c r="C87" s="85"/>
      <c r="D87" s="87"/>
      <c r="E87" s="85"/>
      <c r="F87" s="88"/>
      <c r="G87" s="88"/>
    </row>
    <row r="88" spans="2:7" ht="12.75" customHeight="1">
      <c r="B88" s="189" t="s">
        <v>157</v>
      </c>
      <c r="C88" s="190" t="s">
        <v>81</v>
      </c>
      <c r="D88" s="191">
        <v>0.5</v>
      </c>
      <c r="E88" s="190" t="s">
        <v>72</v>
      </c>
      <c r="F88" s="192">
        <f>37699*1.19*5</f>
        <v>224309.05</v>
      </c>
      <c r="G88" s="192">
        <f t="shared" ref="G88:G100" si="6">D88*F88</f>
        <v>112154.52499999999</v>
      </c>
    </row>
    <row r="89" spans="2:7" ht="12.75" customHeight="1">
      <c r="B89" s="189" t="s">
        <v>99</v>
      </c>
      <c r="C89" s="190" t="s">
        <v>81</v>
      </c>
      <c r="D89" s="191">
        <v>2</v>
      </c>
      <c r="E89" s="190" t="s">
        <v>72</v>
      </c>
      <c r="F89" s="192">
        <f>17604*1.19*5</f>
        <v>104743.79999999999</v>
      </c>
      <c r="G89" s="192">
        <f>D89*F89</f>
        <v>209487.59999999998</v>
      </c>
    </row>
    <row r="90" spans="2:7" ht="12.75" customHeight="1">
      <c r="B90" s="236" t="s">
        <v>158</v>
      </c>
      <c r="C90" s="237" t="s">
        <v>159</v>
      </c>
      <c r="D90" s="238">
        <v>1</v>
      </c>
      <c r="E90" s="239" t="s">
        <v>160</v>
      </c>
      <c r="F90" s="240">
        <f>85452*1.19</f>
        <v>101687.87999999999</v>
      </c>
      <c r="G90" s="192">
        <f>D90*F90</f>
        <v>101687.87999999999</v>
      </c>
    </row>
    <row r="91" spans="2:7" ht="12.75" customHeight="1">
      <c r="B91" s="241" t="s">
        <v>161</v>
      </c>
      <c r="C91" s="242" t="s">
        <v>159</v>
      </c>
      <c r="D91" s="243">
        <f>6</f>
        <v>6</v>
      </c>
      <c r="E91" s="244" t="s">
        <v>162</v>
      </c>
      <c r="F91" s="245">
        <f>23248*1.19</f>
        <v>27665.119999999999</v>
      </c>
      <c r="G91" s="192">
        <f t="shared" ref="G91:G93" si="7">D91*F91</f>
        <v>165990.72</v>
      </c>
    </row>
    <row r="92" spans="2:7" ht="12.75" customHeight="1">
      <c r="B92" s="241" t="s">
        <v>163</v>
      </c>
      <c r="C92" s="244" t="s">
        <v>159</v>
      </c>
      <c r="D92" s="243">
        <v>2</v>
      </c>
      <c r="E92" s="244" t="s">
        <v>162</v>
      </c>
      <c r="F92" s="246">
        <f>81556*1.19</f>
        <v>97051.64</v>
      </c>
      <c r="G92" s="192">
        <f t="shared" si="7"/>
        <v>194103.28</v>
      </c>
    </row>
    <row r="93" spans="2:7" ht="12.75" customHeight="1">
      <c r="B93" s="241" t="s">
        <v>164</v>
      </c>
      <c r="C93" s="244" t="s">
        <v>153</v>
      </c>
      <c r="D93" s="243">
        <v>2</v>
      </c>
      <c r="E93" s="244" t="s">
        <v>162</v>
      </c>
      <c r="F93" s="246">
        <f>66600*1.19</f>
        <v>79254</v>
      </c>
      <c r="G93" s="192">
        <f t="shared" si="7"/>
        <v>158508</v>
      </c>
    </row>
    <row r="94" spans="2:7" ht="12.75" customHeight="1">
      <c r="B94" s="247"/>
      <c r="C94" s="171"/>
      <c r="D94" s="172"/>
      <c r="E94" s="171"/>
      <c r="F94" s="173"/>
      <c r="G94" s="173"/>
    </row>
    <row r="95" spans="2:7" ht="12.75" customHeight="1">
      <c r="B95" s="247" t="s">
        <v>113</v>
      </c>
      <c r="C95" s="171"/>
      <c r="D95" s="172"/>
      <c r="E95" s="171"/>
      <c r="F95" s="173"/>
      <c r="G95" s="173"/>
    </row>
    <row r="96" spans="2:7" ht="12.75" customHeight="1">
      <c r="B96" s="189" t="s">
        <v>149</v>
      </c>
      <c r="C96" s="190" t="s">
        <v>81</v>
      </c>
      <c r="D96" s="191">
        <v>0.5</v>
      </c>
      <c r="E96" s="190" t="s">
        <v>68</v>
      </c>
      <c r="F96" s="192">
        <f>68153*1.19</f>
        <v>81102.069999999992</v>
      </c>
      <c r="G96" s="192">
        <f t="shared" si="6"/>
        <v>40551.034999999996</v>
      </c>
    </row>
    <row r="97" spans="2:7" ht="12.75" customHeight="1">
      <c r="B97" s="189" t="s">
        <v>150</v>
      </c>
      <c r="C97" s="190" t="s">
        <v>81</v>
      </c>
      <c r="D97" s="191">
        <v>1</v>
      </c>
      <c r="E97" s="190" t="s">
        <v>151</v>
      </c>
      <c r="F97" s="192">
        <f>146901*1.19</f>
        <v>174812.19</v>
      </c>
      <c r="G97" s="192">
        <f t="shared" si="6"/>
        <v>174812.19</v>
      </c>
    </row>
    <row r="98" spans="2:7" ht="12.75" customHeight="1">
      <c r="B98" s="189" t="s">
        <v>114</v>
      </c>
      <c r="C98" s="190" t="s">
        <v>81</v>
      </c>
      <c r="D98" s="191">
        <v>1</v>
      </c>
      <c r="E98" s="190" t="s">
        <v>115</v>
      </c>
      <c r="F98" s="192">
        <f>87311*1.19</f>
        <v>103900.09</v>
      </c>
      <c r="G98" s="192">
        <f t="shared" si="6"/>
        <v>103900.09</v>
      </c>
    </row>
    <row r="99" spans="2:7" ht="12.75" customHeight="1">
      <c r="B99" s="189" t="s">
        <v>152</v>
      </c>
      <c r="C99" s="190" t="s">
        <v>153</v>
      </c>
      <c r="D99" s="191">
        <v>5</v>
      </c>
      <c r="E99" s="190" t="s">
        <v>154</v>
      </c>
      <c r="F99" s="192">
        <f>1728*1.19</f>
        <v>2056.3199999999997</v>
      </c>
      <c r="G99" s="192">
        <f t="shared" si="6"/>
        <v>10281.599999999999</v>
      </c>
    </row>
    <row r="100" spans="2:7" ht="12.75" customHeight="1">
      <c r="B100" s="236" t="s">
        <v>155</v>
      </c>
      <c r="C100" s="190" t="s">
        <v>81</v>
      </c>
      <c r="D100" s="191">
        <v>1</v>
      </c>
      <c r="E100" s="190" t="s">
        <v>156</v>
      </c>
      <c r="F100" s="192">
        <f>33929*1.19</f>
        <v>40375.509999999995</v>
      </c>
      <c r="G100" s="192">
        <f t="shared" si="6"/>
        <v>40375.509999999995</v>
      </c>
    </row>
    <row r="101" spans="2:7" ht="12.75" customHeight="1">
      <c r="B101" s="236"/>
      <c r="C101" s="190"/>
      <c r="D101" s="191"/>
      <c r="E101" s="190"/>
      <c r="F101" s="192"/>
      <c r="G101" s="192"/>
    </row>
    <row r="102" spans="2:7" ht="12.75" customHeight="1">
      <c r="B102" s="125" t="s">
        <v>116</v>
      </c>
      <c r="C102" s="214"/>
      <c r="D102" s="87"/>
      <c r="E102" s="85"/>
      <c r="F102" s="88"/>
      <c r="G102" s="88"/>
    </row>
    <row r="103" spans="2:7" ht="12.75" customHeight="1">
      <c r="B103" s="174" t="s">
        <v>100</v>
      </c>
      <c r="C103" s="175" t="s">
        <v>117</v>
      </c>
      <c r="D103" s="163">
        <f>2/2</f>
        <v>1</v>
      </c>
      <c r="E103" s="162" t="s">
        <v>95</v>
      </c>
      <c r="F103" s="163">
        <f>56000*1.19</f>
        <v>66640</v>
      </c>
      <c r="G103" s="163">
        <f>F103*D103</f>
        <v>66640</v>
      </c>
    </row>
    <row r="104" spans="2:7" ht="12.75" customHeight="1">
      <c r="B104" s="90"/>
      <c r="C104" s="214"/>
      <c r="D104" s="87"/>
      <c r="E104" s="85"/>
      <c r="F104" s="88"/>
      <c r="G104" s="88"/>
    </row>
    <row r="105" spans="2:7" ht="13.5" customHeight="1">
      <c r="B105" s="112" t="s">
        <v>30</v>
      </c>
      <c r="C105" s="216"/>
      <c r="D105" s="113"/>
      <c r="E105" s="113"/>
      <c r="F105" s="114"/>
      <c r="G105" s="121">
        <f>SUM(G59:G104)</f>
        <v>20747771.561507881</v>
      </c>
    </row>
    <row r="106" spans="2:7" ht="12" customHeight="1">
      <c r="B106" s="107"/>
      <c r="C106" s="217"/>
      <c r="D106" s="108"/>
      <c r="E106" s="109"/>
      <c r="F106" s="110"/>
      <c r="G106" s="111"/>
    </row>
    <row r="107" spans="2:7" ht="12" customHeight="1">
      <c r="B107" s="26" t="s">
        <v>31</v>
      </c>
      <c r="C107" s="207"/>
      <c r="D107" s="27"/>
      <c r="E107" s="27"/>
      <c r="F107" s="28"/>
      <c r="G107" s="97"/>
    </row>
    <row r="108" spans="2:7" ht="24" customHeight="1">
      <c r="B108" s="106" t="s">
        <v>32</v>
      </c>
      <c r="C108" s="86" t="s">
        <v>28</v>
      </c>
      <c r="D108" s="86" t="s">
        <v>29</v>
      </c>
      <c r="E108" s="106" t="s">
        <v>17</v>
      </c>
      <c r="F108" s="86" t="s">
        <v>18</v>
      </c>
      <c r="G108" s="106" t="s">
        <v>19</v>
      </c>
    </row>
    <row r="109" spans="2:7" ht="16.5" customHeight="1">
      <c r="B109" s="176" t="s">
        <v>118</v>
      </c>
      <c r="C109" s="218" t="s">
        <v>119</v>
      </c>
      <c r="D109" s="176">
        <v>10</v>
      </c>
      <c r="E109" s="176" t="s">
        <v>139</v>
      </c>
      <c r="F109" s="177">
        <v>100000</v>
      </c>
      <c r="G109" s="177">
        <f t="shared" ref="G109" si="8">F109*D109</f>
        <v>1000000</v>
      </c>
    </row>
    <row r="110" spans="2:7" ht="13.5" customHeight="1">
      <c r="B110" s="42" t="s">
        <v>33</v>
      </c>
      <c r="C110" s="219"/>
      <c r="D110" s="43"/>
      <c r="E110" s="105"/>
      <c r="F110" s="44"/>
      <c r="G110" s="122">
        <f>SUM(G109)</f>
        <v>1000000</v>
      </c>
    </row>
    <row r="111" spans="2:7" ht="12" customHeight="1">
      <c r="B111" s="52"/>
      <c r="C111" s="220"/>
      <c r="D111" s="52"/>
      <c r="E111" s="52"/>
      <c r="F111" s="53"/>
      <c r="G111" s="100"/>
    </row>
    <row r="112" spans="2:7" ht="12" customHeight="1">
      <c r="B112" s="54" t="s">
        <v>34</v>
      </c>
      <c r="C112" s="221"/>
      <c r="D112" s="55"/>
      <c r="E112" s="55"/>
      <c r="F112" s="55"/>
      <c r="G112" s="56">
        <f>G43+G48+G55+G105+G110</f>
        <v>55651401.561507881</v>
      </c>
    </row>
    <row r="113" spans="2:7" ht="12" customHeight="1">
      <c r="B113" s="57" t="s">
        <v>35</v>
      </c>
      <c r="C113" s="222"/>
      <c r="D113" s="46"/>
      <c r="E113" s="46"/>
      <c r="F113" s="46"/>
      <c r="G113" s="58">
        <f>G112*0.05</f>
        <v>2782570.078075394</v>
      </c>
    </row>
    <row r="114" spans="2:7" ht="12" customHeight="1">
      <c r="B114" s="59" t="s">
        <v>36</v>
      </c>
      <c r="C114" s="223"/>
      <c r="D114" s="45"/>
      <c r="E114" s="45"/>
      <c r="F114" s="45"/>
      <c r="G114" s="60">
        <f>G113+G112</f>
        <v>58433971.639583275</v>
      </c>
    </row>
    <row r="115" spans="2:7" ht="12" customHeight="1">
      <c r="B115" s="57" t="s">
        <v>37</v>
      </c>
      <c r="C115" s="222"/>
      <c r="D115" s="46"/>
      <c r="E115" s="46"/>
      <c r="F115" s="46"/>
      <c r="G115" s="58">
        <f>G12</f>
        <v>76500000</v>
      </c>
    </row>
    <row r="116" spans="2:7" ht="12" customHeight="1">
      <c r="B116" s="61" t="s">
        <v>38</v>
      </c>
      <c r="C116" s="224"/>
      <c r="D116" s="62"/>
      <c r="E116" s="62"/>
      <c r="F116" s="62"/>
      <c r="G116" s="56">
        <f>G115-G114</f>
        <v>18066028.360416725</v>
      </c>
    </row>
    <row r="117" spans="2:7" ht="12" customHeight="1">
      <c r="B117" s="50" t="s">
        <v>39</v>
      </c>
      <c r="C117" s="225"/>
      <c r="D117" s="51"/>
      <c r="E117" s="51"/>
      <c r="F117" s="51"/>
      <c r="G117" s="101"/>
    </row>
    <row r="118" spans="2:7" ht="12.75" customHeight="1" thickBot="1">
      <c r="B118" s="63"/>
      <c r="C118" s="225"/>
      <c r="D118" s="51"/>
      <c r="E118" s="51"/>
      <c r="F118" s="51"/>
      <c r="G118" s="101"/>
    </row>
    <row r="119" spans="2:7" ht="12" customHeight="1">
      <c r="B119" s="73" t="s">
        <v>40</v>
      </c>
      <c r="C119" s="226"/>
      <c r="D119" s="74"/>
      <c r="E119" s="74"/>
      <c r="F119" s="75"/>
      <c r="G119" s="101"/>
    </row>
    <row r="120" spans="2:7" ht="12" customHeight="1">
      <c r="B120" s="76" t="s">
        <v>41</v>
      </c>
      <c r="C120" s="227"/>
      <c r="D120" s="49"/>
      <c r="E120" s="49"/>
      <c r="F120" s="77"/>
      <c r="G120" s="101"/>
    </row>
    <row r="121" spans="2:7" ht="12" customHeight="1">
      <c r="B121" s="76" t="s">
        <v>42</v>
      </c>
      <c r="C121" s="227"/>
      <c r="D121" s="49"/>
      <c r="E121" s="49"/>
      <c r="F121" s="77"/>
      <c r="G121" s="101"/>
    </row>
    <row r="122" spans="2:7" ht="12" customHeight="1">
      <c r="B122" s="76" t="s">
        <v>43</v>
      </c>
      <c r="C122" s="227"/>
      <c r="D122" s="49"/>
      <c r="E122" s="49"/>
      <c r="F122" s="77"/>
      <c r="G122" s="101"/>
    </row>
    <row r="123" spans="2:7" ht="12" customHeight="1">
      <c r="B123" s="76" t="s">
        <v>44</v>
      </c>
      <c r="C123" s="227"/>
      <c r="D123" s="49"/>
      <c r="E123" s="49"/>
      <c r="F123" s="77"/>
      <c r="G123" s="101"/>
    </row>
    <row r="124" spans="2:7" ht="12" customHeight="1">
      <c r="B124" s="76" t="s">
        <v>45</v>
      </c>
      <c r="C124" s="227"/>
      <c r="D124" s="49"/>
      <c r="E124" s="49"/>
      <c r="F124" s="77"/>
      <c r="G124" s="101"/>
    </row>
    <row r="125" spans="2:7" ht="12.75" customHeight="1" thickBot="1">
      <c r="B125" s="78" t="s">
        <v>46</v>
      </c>
      <c r="C125" s="228"/>
      <c r="D125" s="79"/>
      <c r="E125" s="79"/>
      <c r="F125" s="80"/>
      <c r="G125" s="101"/>
    </row>
    <row r="126" spans="2:7" ht="12.75" customHeight="1">
      <c r="B126" s="71"/>
      <c r="C126" s="227"/>
      <c r="D126" s="49"/>
      <c r="E126" s="49"/>
      <c r="F126" s="49"/>
      <c r="G126" s="101"/>
    </row>
    <row r="127" spans="2:7" ht="15" customHeight="1" thickBot="1">
      <c r="B127" s="350" t="s">
        <v>47</v>
      </c>
      <c r="C127" s="351"/>
      <c r="D127" s="70"/>
      <c r="E127" s="47"/>
      <c r="F127" s="352"/>
      <c r="G127" s="353"/>
    </row>
    <row r="128" spans="2:7" ht="12" customHeight="1">
      <c r="B128" s="65" t="s">
        <v>32</v>
      </c>
      <c r="C128" s="229" t="s">
        <v>120</v>
      </c>
      <c r="D128" s="123" t="s">
        <v>48</v>
      </c>
      <c r="E128" s="47"/>
      <c r="F128" s="248"/>
      <c r="G128" s="249"/>
    </row>
    <row r="129" spans="2:7" ht="12" customHeight="1">
      <c r="B129" s="66" t="s">
        <v>49</v>
      </c>
      <c r="C129" s="230">
        <f>G43</f>
        <v>31536000</v>
      </c>
      <c r="D129" s="67">
        <f>(C129/C135)</f>
        <v>0.53968606129516372</v>
      </c>
      <c r="E129" s="47"/>
      <c r="F129" s="248"/>
      <c r="G129" s="249"/>
    </row>
    <row r="130" spans="2:7" ht="12" customHeight="1">
      <c r="B130" s="66" t="s">
        <v>50</v>
      </c>
      <c r="C130" s="230">
        <f>G48</f>
        <v>0</v>
      </c>
      <c r="D130" s="67">
        <v>0</v>
      </c>
      <c r="E130" s="47"/>
      <c r="F130" s="248"/>
      <c r="G130" s="249"/>
    </row>
    <row r="131" spans="2:7" ht="12" customHeight="1">
      <c r="B131" s="66" t="s">
        <v>51</v>
      </c>
      <c r="C131" s="230">
        <f>G55</f>
        <v>2367630</v>
      </c>
      <c r="D131" s="67">
        <f>(C131/C135)</f>
        <v>4.0518039995695983E-2</v>
      </c>
      <c r="E131" s="47"/>
      <c r="F131" s="248"/>
      <c r="G131" s="249"/>
    </row>
    <row r="132" spans="2:7" ht="12" customHeight="1">
      <c r="B132" s="66" t="s">
        <v>27</v>
      </c>
      <c r="C132" s="230">
        <f>G105</f>
        <v>20747771.561507881</v>
      </c>
      <c r="D132" s="67">
        <f>(C132/C135)</f>
        <v>0.35506351834988575</v>
      </c>
      <c r="E132" s="47"/>
      <c r="F132" s="248"/>
      <c r="G132" s="249"/>
    </row>
    <row r="133" spans="2:7" ht="12" customHeight="1">
      <c r="B133" s="66" t="s">
        <v>52</v>
      </c>
      <c r="C133" s="231">
        <f>G110</f>
        <v>1000000</v>
      </c>
      <c r="D133" s="67">
        <f>(C133/C135)</f>
        <v>1.7113332740206866E-2</v>
      </c>
      <c r="E133" s="48"/>
      <c r="F133" s="248"/>
      <c r="G133" s="249"/>
    </row>
    <row r="134" spans="2:7" ht="12" customHeight="1">
      <c r="B134" s="66" t="s">
        <v>53</v>
      </c>
      <c r="C134" s="231">
        <f>G113</f>
        <v>2782570.078075394</v>
      </c>
      <c r="D134" s="67">
        <f>(C134/C135)</f>
        <v>4.7619047619047616E-2</v>
      </c>
      <c r="E134" s="48"/>
      <c r="F134" s="250"/>
      <c r="G134" s="251"/>
    </row>
    <row r="135" spans="2:7" ht="12.75" customHeight="1" thickBot="1">
      <c r="B135" s="68" t="s">
        <v>54</v>
      </c>
      <c r="C135" s="232">
        <f>SUM(C129:C134)</f>
        <v>58433971.639583275</v>
      </c>
      <c r="D135" s="69">
        <f>SUM(D129:D134)</f>
        <v>1</v>
      </c>
      <c r="E135" s="48"/>
      <c r="F135" s="250"/>
      <c r="G135" s="251"/>
    </row>
    <row r="136" spans="2:7" ht="12" customHeight="1">
      <c r="B136" s="63"/>
      <c r="C136" s="225"/>
      <c r="D136" s="51"/>
      <c r="E136" s="51"/>
      <c r="F136" s="51"/>
      <c r="G136" s="101"/>
    </row>
    <row r="137" spans="2:7" ht="12.75" customHeight="1" thickBot="1">
      <c r="B137" s="64"/>
      <c r="C137" s="225"/>
      <c r="D137" s="51"/>
      <c r="E137" s="51"/>
      <c r="F137" s="51"/>
      <c r="G137" s="101"/>
    </row>
    <row r="138" spans="2:7" ht="12" customHeight="1" thickBot="1">
      <c r="B138" s="347" t="s">
        <v>168</v>
      </c>
      <c r="C138" s="348"/>
      <c r="D138" s="348"/>
      <c r="E138" s="349"/>
      <c r="F138" s="48"/>
      <c r="G138" s="101"/>
    </row>
    <row r="139" spans="2:7" ht="12" customHeight="1">
      <c r="B139" s="82" t="s">
        <v>166</v>
      </c>
      <c r="C139" s="233">
        <v>80000</v>
      </c>
      <c r="D139" s="115">
        <v>85000</v>
      </c>
      <c r="E139" s="115">
        <v>90000</v>
      </c>
      <c r="F139" s="81"/>
      <c r="G139" s="102"/>
    </row>
    <row r="140" spans="2:7" ht="12.75" customHeight="1" thickBot="1">
      <c r="B140" s="68" t="s">
        <v>167</v>
      </c>
      <c r="C140" s="234">
        <f>(G114/C139)</f>
        <v>730.42464549479098</v>
      </c>
      <c r="D140" s="193">
        <f>(G114/D139)</f>
        <v>687.45848987745035</v>
      </c>
      <c r="E140" s="194">
        <f>(G114/E139)</f>
        <v>649.26635155092526</v>
      </c>
      <c r="F140" s="81"/>
      <c r="G140" s="102"/>
    </row>
    <row r="141" spans="2:7" ht="15.6" customHeight="1">
      <c r="B141" s="72" t="s">
        <v>55</v>
      </c>
      <c r="C141" s="227"/>
      <c r="D141" s="49"/>
      <c r="E141" s="49"/>
      <c r="F141" s="49"/>
      <c r="G141" s="103"/>
    </row>
    <row r="145" spans="3:3" ht="11.25" customHeight="1">
      <c r="C145" s="252"/>
    </row>
  </sheetData>
  <mergeCells count="10">
    <mergeCell ref="B17:G17"/>
    <mergeCell ref="B127:C127"/>
    <mergeCell ref="F127:G127"/>
    <mergeCell ref="B138:E138"/>
    <mergeCell ref="E9:F9"/>
    <mergeCell ref="E10:F10"/>
    <mergeCell ref="E11:F11"/>
    <mergeCell ref="E13:F13"/>
    <mergeCell ref="E14:F14"/>
    <mergeCell ref="E15:F15"/>
  </mergeCells>
  <pageMargins left="0.25" right="0.25" top="0.14000000000000001" bottom="1.43" header="0.3" footer="0.3"/>
  <pageSetup paperSize="5" scale="92" fitToHeight="0" orientation="portrait" r:id="rId1"/>
  <headerFooter>
    <oddFooter>&amp;C&amp;"Helvetica Neue,Regular"&amp;12&amp;K000000&amp;P</oddFooter>
  </headerFooter>
  <rowBreaks count="2" manualBreakCount="2">
    <brk id="56" max="6" man="1"/>
    <brk id="105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L134"/>
  <sheetViews>
    <sheetView showGridLines="0" view="pageBreakPreview" topLeftCell="A2" zoomScale="85" zoomScaleNormal="100" zoomScaleSheetLayoutView="85" workbookViewId="0">
      <selection activeCell="G116" sqref="G116"/>
    </sheetView>
  </sheetViews>
  <sheetFormatPr baseColWidth="10" defaultColWidth="10.85546875" defaultRowHeight="11.25" customHeight="1"/>
  <cols>
    <col min="1" max="1" width="10.85546875" style="280"/>
    <col min="2" max="2" width="39.5703125" style="279" customWidth="1"/>
    <col min="3" max="3" width="52" style="318" customWidth="1"/>
    <col min="4" max="4" width="24.28515625" style="279" customWidth="1"/>
    <col min="5" max="5" width="26" style="282" customWidth="1"/>
    <col min="6" max="6" width="18.7109375" style="279" customWidth="1"/>
    <col min="7" max="7" width="17.140625" style="283" customWidth="1"/>
    <col min="8" max="8" width="15.42578125" style="279" customWidth="1"/>
    <col min="9" max="220" width="10.85546875" style="279" customWidth="1"/>
    <col min="221" max="16384" width="10.85546875" style="280"/>
  </cols>
  <sheetData>
    <row r="2" spans="2:220" ht="30" customHeight="1">
      <c r="B2" s="277" t="s">
        <v>0</v>
      </c>
      <c r="C2" s="278" t="s">
        <v>190</v>
      </c>
      <c r="E2" s="280"/>
      <c r="F2" s="280"/>
      <c r="G2" s="280"/>
    </row>
    <row r="3" spans="2:220" ht="30" customHeight="1">
      <c r="B3" s="277" t="s">
        <v>1</v>
      </c>
      <c r="C3" s="328" t="s">
        <v>141</v>
      </c>
      <c r="E3" s="280"/>
      <c r="F3" s="280"/>
      <c r="G3" s="280"/>
    </row>
    <row r="4" spans="2:220" ht="30" customHeight="1">
      <c r="B4" s="277" t="s">
        <v>142</v>
      </c>
      <c r="C4" s="281">
        <f>'AJI INVERNADERO'!G9</f>
        <v>85000</v>
      </c>
      <c r="D4" s="280"/>
      <c r="E4" s="280"/>
      <c r="F4" s="280"/>
      <c r="G4" s="280"/>
    </row>
    <row r="5" spans="2:220" ht="30" customHeight="1">
      <c r="B5" s="277" t="s">
        <v>181</v>
      </c>
      <c r="C5" s="281">
        <f>'AJI INVERNADERO'!G11</f>
        <v>1000</v>
      </c>
      <c r="D5" s="280"/>
    </row>
    <row r="6" spans="2:220" s="286" customFormat="1" ht="30" customHeight="1">
      <c r="B6" s="284" t="s">
        <v>5</v>
      </c>
      <c r="C6" s="285">
        <f>'AJI INVERNADERO'!G12</f>
        <v>85000000</v>
      </c>
      <c r="E6" s="287"/>
      <c r="F6" s="288"/>
      <c r="G6" s="289"/>
      <c r="H6" s="288"/>
      <c r="I6" s="288"/>
      <c r="J6" s="288"/>
      <c r="K6" s="288"/>
      <c r="L6" s="288"/>
      <c r="M6" s="288"/>
      <c r="N6" s="288"/>
      <c r="O6" s="288"/>
      <c r="P6" s="288"/>
      <c r="Q6" s="288"/>
      <c r="R6" s="288"/>
      <c r="S6" s="288"/>
      <c r="T6" s="288"/>
      <c r="U6" s="288"/>
      <c r="V6" s="288"/>
      <c r="W6" s="288"/>
      <c r="X6" s="288"/>
      <c r="Y6" s="288"/>
      <c r="Z6" s="288"/>
      <c r="AA6" s="288"/>
      <c r="AB6" s="288"/>
      <c r="AC6" s="288"/>
      <c r="AD6" s="288"/>
      <c r="AE6" s="288"/>
      <c r="AF6" s="288"/>
      <c r="AG6" s="288"/>
      <c r="AH6" s="288"/>
      <c r="AI6" s="288"/>
      <c r="AJ6" s="288"/>
      <c r="AK6" s="288"/>
      <c r="AL6" s="288"/>
      <c r="AM6" s="288"/>
      <c r="AN6" s="288"/>
      <c r="AO6" s="288"/>
      <c r="AP6" s="288"/>
      <c r="AQ6" s="288"/>
      <c r="AR6" s="288"/>
      <c r="AS6" s="288"/>
      <c r="AT6" s="288"/>
      <c r="AU6" s="288"/>
      <c r="AV6" s="288"/>
      <c r="AW6" s="288"/>
      <c r="AX6" s="288"/>
      <c r="AY6" s="288"/>
      <c r="AZ6" s="288"/>
      <c r="BA6" s="288"/>
      <c r="BB6" s="288"/>
      <c r="BC6" s="288"/>
      <c r="BD6" s="288"/>
      <c r="BE6" s="288"/>
      <c r="BF6" s="288"/>
      <c r="BG6" s="288"/>
      <c r="BH6" s="288"/>
      <c r="BI6" s="288"/>
      <c r="BJ6" s="288"/>
      <c r="BK6" s="288"/>
      <c r="BL6" s="288"/>
      <c r="BM6" s="288"/>
      <c r="BN6" s="288"/>
      <c r="BO6" s="288"/>
      <c r="BP6" s="288"/>
      <c r="BQ6" s="288"/>
      <c r="BR6" s="288"/>
      <c r="BS6" s="288"/>
      <c r="BT6" s="288"/>
      <c r="BU6" s="288"/>
      <c r="BV6" s="288"/>
      <c r="BW6" s="288"/>
      <c r="BX6" s="288"/>
      <c r="BY6" s="288"/>
      <c r="BZ6" s="288"/>
      <c r="CA6" s="288"/>
      <c r="CB6" s="288"/>
      <c r="CC6" s="288"/>
      <c r="CD6" s="288"/>
      <c r="CE6" s="288"/>
      <c r="CF6" s="288"/>
      <c r="CG6" s="288"/>
      <c r="CH6" s="288"/>
      <c r="CI6" s="288"/>
      <c r="CJ6" s="288"/>
      <c r="CK6" s="288"/>
      <c r="CL6" s="288"/>
      <c r="CM6" s="288"/>
      <c r="CN6" s="288"/>
      <c r="CO6" s="288"/>
      <c r="CP6" s="288"/>
      <c r="CQ6" s="288"/>
      <c r="CR6" s="288"/>
      <c r="CS6" s="288"/>
      <c r="CT6" s="288"/>
      <c r="CU6" s="288"/>
      <c r="CV6" s="288"/>
      <c r="CW6" s="288"/>
      <c r="CX6" s="288"/>
      <c r="CY6" s="288"/>
      <c r="CZ6" s="288"/>
      <c r="DA6" s="288"/>
      <c r="DB6" s="288"/>
      <c r="DC6" s="288"/>
      <c r="DD6" s="288"/>
      <c r="DE6" s="288"/>
      <c r="DF6" s="288"/>
      <c r="DG6" s="288"/>
      <c r="DH6" s="288"/>
      <c r="DI6" s="288"/>
      <c r="DJ6" s="288"/>
      <c r="DK6" s="288"/>
      <c r="DL6" s="288"/>
      <c r="DM6" s="288"/>
      <c r="DN6" s="288"/>
      <c r="DO6" s="288"/>
      <c r="DP6" s="288"/>
      <c r="DQ6" s="288"/>
      <c r="DR6" s="288"/>
      <c r="DS6" s="288"/>
      <c r="DT6" s="288"/>
      <c r="DU6" s="288"/>
      <c r="DV6" s="288"/>
      <c r="DW6" s="288"/>
      <c r="DX6" s="288"/>
      <c r="DY6" s="288"/>
      <c r="DZ6" s="288"/>
      <c r="EA6" s="288"/>
      <c r="EB6" s="288"/>
      <c r="EC6" s="288"/>
      <c r="ED6" s="288"/>
      <c r="EE6" s="288"/>
      <c r="EF6" s="288"/>
      <c r="EG6" s="288"/>
      <c r="EH6" s="288"/>
      <c r="EI6" s="288"/>
      <c r="EJ6" s="288"/>
      <c r="EK6" s="288"/>
      <c r="EL6" s="288"/>
      <c r="EM6" s="288"/>
      <c r="EN6" s="288"/>
      <c r="EO6" s="288"/>
      <c r="EP6" s="288"/>
      <c r="EQ6" s="288"/>
      <c r="ER6" s="288"/>
      <c r="ES6" s="288"/>
      <c r="ET6" s="288"/>
      <c r="EU6" s="288"/>
      <c r="EV6" s="288"/>
      <c r="EW6" s="288"/>
      <c r="EX6" s="288"/>
      <c r="EY6" s="288"/>
      <c r="EZ6" s="288"/>
      <c r="FA6" s="288"/>
      <c r="FB6" s="288"/>
      <c r="FC6" s="288"/>
      <c r="FD6" s="288"/>
      <c r="FE6" s="288"/>
      <c r="FF6" s="288"/>
      <c r="FG6" s="288"/>
      <c r="FH6" s="288"/>
      <c r="FI6" s="288"/>
      <c r="FJ6" s="288"/>
      <c r="FK6" s="288"/>
      <c r="FL6" s="288"/>
      <c r="FM6" s="288"/>
      <c r="FN6" s="288"/>
      <c r="FO6" s="288"/>
      <c r="FP6" s="288"/>
      <c r="FQ6" s="288"/>
      <c r="FR6" s="288"/>
      <c r="FS6" s="288"/>
      <c r="FT6" s="288"/>
      <c r="FU6" s="288"/>
      <c r="FV6" s="288"/>
      <c r="FW6" s="288"/>
      <c r="FX6" s="288"/>
      <c r="FY6" s="288"/>
      <c r="FZ6" s="288"/>
      <c r="GA6" s="288"/>
      <c r="GB6" s="288"/>
      <c r="GC6" s="288"/>
      <c r="GD6" s="288"/>
      <c r="GE6" s="288"/>
      <c r="GF6" s="288"/>
      <c r="GG6" s="288"/>
      <c r="GH6" s="288"/>
      <c r="GI6" s="288"/>
      <c r="GJ6" s="288"/>
      <c r="GK6" s="288"/>
      <c r="GL6" s="288"/>
      <c r="GM6" s="288"/>
      <c r="GN6" s="288"/>
      <c r="GO6" s="288"/>
      <c r="GP6" s="288"/>
      <c r="GQ6" s="288"/>
      <c r="GR6" s="288"/>
      <c r="GS6" s="288"/>
      <c r="GT6" s="288"/>
      <c r="GU6" s="288"/>
      <c r="GV6" s="288"/>
      <c r="GW6" s="288"/>
      <c r="GX6" s="288"/>
      <c r="GY6" s="288"/>
      <c r="GZ6" s="288"/>
      <c r="HA6" s="288"/>
      <c r="HB6" s="288"/>
      <c r="HC6" s="288"/>
      <c r="HD6" s="288"/>
      <c r="HE6" s="288"/>
      <c r="HF6" s="288"/>
      <c r="HG6" s="288"/>
      <c r="HH6" s="288"/>
      <c r="HI6" s="288"/>
      <c r="HJ6" s="288"/>
      <c r="HK6" s="288"/>
      <c r="HL6" s="288"/>
    </row>
    <row r="7" spans="2:220" s="286" customFormat="1" ht="30" customHeight="1">
      <c r="B7" s="290"/>
      <c r="C7" s="291"/>
      <c r="E7" s="287"/>
      <c r="F7" s="288"/>
      <c r="G7" s="289"/>
      <c r="H7" s="288"/>
      <c r="I7" s="288"/>
      <c r="J7" s="288"/>
      <c r="K7" s="288"/>
      <c r="L7" s="288"/>
      <c r="M7" s="288"/>
      <c r="N7" s="288"/>
      <c r="O7" s="288"/>
      <c r="P7" s="288"/>
      <c r="Q7" s="288"/>
      <c r="R7" s="288"/>
      <c r="S7" s="288"/>
      <c r="T7" s="288"/>
      <c r="U7" s="288"/>
      <c r="V7" s="288"/>
      <c r="W7" s="288"/>
      <c r="X7" s="288"/>
      <c r="Y7" s="288"/>
      <c r="Z7" s="288"/>
      <c r="AA7" s="288"/>
      <c r="AB7" s="288"/>
      <c r="AC7" s="288"/>
      <c r="AD7" s="288"/>
      <c r="AE7" s="288"/>
      <c r="AF7" s="288"/>
      <c r="AG7" s="288"/>
      <c r="AH7" s="288"/>
      <c r="AI7" s="288"/>
      <c r="AJ7" s="288"/>
      <c r="AK7" s="288"/>
      <c r="AL7" s="288"/>
      <c r="AM7" s="288"/>
      <c r="AN7" s="288"/>
      <c r="AO7" s="288"/>
      <c r="AP7" s="288"/>
      <c r="AQ7" s="288"/>
      <c r="AR7" s="288"/>
      <c r="AS7" s="288"/>
      <c r="AT7" s="288"/>
      <c r="AU7" s="288"/>
      <c r="AV7" s="288"/>
      <c r="AW7" s="288"/>
      <c r="AX7" s="288"/>
      <c r="AY7" s="288"/>
      <c r="AZ7" s="288"/>
      <c r="BA7" s="288"/>
      <c r="BB7" s="288"/>
      <c r="BC7" s="288"/>
      <c r="BD7" s="288"/>
      <c r="BE7" s="288"/>
      <c r="BF7" s="288"/>
      <c r="BG7" s="288"/>
      <c r="BH7" s="288"/>
      <c r="BI7" s="288"/>
      <c r="BJ7" s="288"/>
      <c r="BK7" s="288"/>
      <c r="BL7" s="288"/>
      <c r="BM7" s="288"/>
      <c r="BN7" s="288"/>
      <c r="BO7" s="288"/>
      <c r="BP7" s="288"/>
      <c r="BQ7" s="288"/>
      <c r="BR7" s="288"/>
      <c r="BS7" s="288"/>
      <c r="BT7" s="288"/>
      <c r="BU7" s="288"/>
      <c r="BV7" s="288"/>
      <c r="BW7" s="288"/>
      <c r="BX7" s="288"/>
      <c r="BY7" s="288"/>
      <c r="BZ7" s="288"/>
      <c r="CA7" s="288"/>
      <c r="CB7" s="288"/>
      <c r="CC7" s="288"/>
      <c r="CD7" s="288"/>
      <c r="CE7" s="288"/>
      <c r="CF7" s="288"/>
      <c r="CG7" s="288"/>
      <c r="CH7" s="288"/>
      <c r="CI7" s="288"/>
      <c r="CJ7" s="288"/>
      <c r="CK7" s="288"/>
      <c r="CL7" s="288"/>
      <c r="CM7" s="288"/>
      <c r="CN7" s="288"/>
      <c r="CO7" s="288"/>
      <c r="CP7" s="288"/>
      <c r="CQ7" s="288"/>
      <c r="CR7" s="288"/>
      <c r="CS7" s="288"/>
      <c r="CT7" s="288"/>
      <c r="CU7" s="288"/>
      <c r="CV7" s="288"/>
      <c r="CW7" s="288"/>
      <c r="CX7" s="288"/>
      <c r="CY7" s="288"/>
      <c r="CZ7" s="288"/>
      <c r="DA7" s="288"/>
      <c r="DB7" s="288"/>
      <c r="DC7" s="288"/>
      <c r="DD7" s="288"/>
      <c r="DE7" s="288"/>
      <c r="DF7" s="288"/>
      <c r="DG7" s="288"/>
      <c r="DH7" s="288"/>
      <c r="DI7" s="288"/>
      <c r="DJ7" s="288"/>
      <c r="DK7" s="288"/>
      <c r="DL7" s="288"/>
      <c r="DM7" s="288"/>
      <c r="DN7" s="288"/>
      <c r="DO7" s="288"/>
      <c r="DP7" s="288"/>
      <c r="DQ7" s="288"/>
      <c r="DR7" s="288"/>
      <c r="DS7" s="288"/>
      <c r="DT7" s="288"/>
      <c r="DU7" s="288"/>
      <c r="DV7" s="288"/>
      <c r="DW7" s="288"/>
      <c r="DX7" s="288"/>
      <c r="DY7" s="288"/>
      <c r="DZ7" s="288"/>
      <c r="EA7" s="288"/>
      <c r="EB7" s="288"/>
      <c r="EC7" s="288"/>
      <c r="ED7" s="288"/>
      <c r="EE7" s="288"/>
      <c r="EF7" s="288"/>
      <c r="EG7" s="288"/>
      <c r="EH7" s="288"/>
      <c r="EI7" s="288"/>
      <c r="EJ7" s="288"/>
      <c r="EK7" s="288"/>
      <c r="EL7" s="288"/>
      <c r="EM7" s="288"/>
      <c r="EN7" s="288"/>
      <c r="EO7" s="288"/>
      <c r="EP7" s="288"/>
      <c r="EQ7" s="288"/>
      <c r="ER7" s="288"/>
      <c r="ES7" s="288"/>
      <c r="ET7" s="288"/>
      <c r="EU7" s="288"/>
      <c r="EV7" s="288"/>
      <c r="EW7" s="288"/>
      <c r="EX7" s="288"/>
      <c r="EY7" s="288"/>
      <c r="EZ7" s="288"/>
      <c r="FA7" s="288"/>
      <c r="FB7" s="288"/>
      <c r="FC7" s="288"/>
      <c r="FD7" s="288"/>
      <c r="FE7" s="288"/>
      <c r="FF7" s="288"/>
      <c r="FG7" s="288"/>
      <c r="FH7" s="288"/>
      <c r="FI7" s="288"/>
      <c r="FJ7" s="288"/>
      <c r="FK7" s="288"/>
      <c r="FL7" s="288"/>
      <c r="FM7" s="288"/>
      <c r="FN7" s="288"/>
      <c r="FO7" s="288"/>
      <c r="FP7" s="288"/>
      <c r="FQ7" s="288"/>
      <c r="FR7" s="288"/>
      <c r="FS7" s="288"/>
      <c r="FT7" s="288"/>
      <c r="FU7" s="288"/>
      <c r="FV7" s="288"/>
      <c r="FW7" s="288"/>
      <c r="FX7" s="288"/>
      <c r="FY7" s="288"/>
      <c r="FZ7" s="288"/>
      <c r="GA7" s="288"/>
      <c r="GB7" s="288"/>
      <c r="GC7" s="288"/>
      <c r="GD7" s="288"/>
      <c r="GE7" s="288"/>
      <c r="GF7" s="288"/>
      <c r="GG7" s="288"/>
      <c r="GH7" s="288"/>
      <c r="GI7" s="288"/>
      <c r="GJ7" s="288"/>
      <c r="GK7" s="288"/>
      <c r="GL7" s="288"/>
      <c r="GM7" s="288"/>
      <c r="GN7" s="288"/>
      <c r="GO7" s="288"/>
      <c r="GP7" s="288"/>
      <c r="GQ7" s="288"/>
      <c r="GR7" s="288"/>
      <c r="GS7" s="288"/>
      <c r="GT7" s="288"/>
      <c r="GU7" s="288"/>
      <c r="GV7" s="288"/>
      <c r="GW7" s="288"/>
      <c r="GX7" s="288"/>
      <c r="GY7" s="288"/>
      <c r="GZ7" s="288"/>
      <c r="HA7" s="288"/>
      <c r="HB7" s="288"/>
      <c r="HC7" s="288"/>
      <c r="HD7" s="288"/>
      <c r="HE7" s="288"/>
      <c r="HF7" s="288"/>
      <c r="HG7" s="288"/>
      <c r="HH7" s="288"/>
      <c r="HI7" s="288"/>
      <c r="HJ7" s="288"/>
      <c r="HK7" s="288"/>
      <c r="HL7" s="288"/>
    </row>
    <row r="8" spans="2:220" s="286" customFormat="1" ht="30" customHeight="1" thickBot="1">
      <c r="B8" s="290"/>
      <c r="C8" s="291"/>
      <c r="E8" s="287"/>
      <c r="F8" s="288"/>
      <c r="G8" s="289"/>
      <c r="H8" s="288"/>
      <c r="I8" s="288"/>
      <c r="J8" s="288"/>
      <c r="K8" s="288"/>
      <c r="L8" s="288"/>
      <c r="M8" s="288"/>
      <c r="N8" s="288"/>
      <c r="O8" s="288"/>
      <c r="P8" s="288"/>
      <c r="Q8" s="288"/>
      <c r="R8" s="288"/>
      <c r="S8" s="288"/>
      <c r="T8" s="288"/>
      <c r="U8" s="288"/>
      <c r="V8" s="288"/>
      <c r="W8" s="288"/>
      <c r="X8" s="288"/>
      <c r="Y8" s="288"/>
      <c r="Z8" s="288"/>
      <c r="AA8" s="288"/>
      <c r="AB8" s="288"/>
      <c r="AC8" s="288"/>
      <c r="AD8" s="288"/>
      <c r="AE8" s="288"/>
      <c r="AF8" s="288"/>
      <c r="AG8" s="288"/>
      <c r="AH8" s="288"/>
      <c r="AI8" s="288"/>
      <c r="AJ8" s="288"/>
      <c r="AK8" s="288"/>
      <c r="AL8" s="288"/>
      <c r="AM8" s="288"/>
      <c r="AN8" s="288"/>
      <c r="AO8" s="288"/>
      <c r="AP8" s="288"/>
      <c r="AQ8" s="288"/>
      <c r="AR8" s="288"/>
      <c r="AS8" s="288"/>
      <c r="AT8" s="288"/>
      <c r="AU8" s="288"/>
      <c r="AV8" s="288"/>
      <c r="AW8" s="288"/>
      <c r="AX8" s="288"/>
      <c r="AY8" s="288"/>
      <c r="AZ8" s="288"/>
      <c r="BA8" s="288"/>
      <c r="BB8" s="288"/>
      <c r="BC8" s="288"/>
      <c r="BD8" s="288"/>
      <c r="BE8" s="288"/>
      <c r="BF8" s="288"/>
      <c r="BG8" s="288"/>
      <c r="BH8" s="288"/>
      <c r="BI8" s="288"/>
      <c r="BJ8" s="288"/>
      <c r="BK8" s="288"/>
      <c r="BL8" s="288"/>
      <c r="BM8" s="288"/>
      <c r="BN8" s="288"/>
      <c r="BO8" s="288"/>
      <c r="BP8" s="288"/>
      <c r="BQ8" s="288"/>
      <c r="BR8" s="288"/>
      <c r="BS8" s="288"/>
      <c r="BT8" s="288"/>
      <c r="BU8" s="288"/>
      <c r="BV8" s="288"/>
      <c r="BW8" s="288"/>
      <c r="BX8" s="288"/>
      <c r="BY8" s="288"/>
      <c r="BZ8" s="288"/>
      <c r="CA8" s="288"/>
      <c r="CB8" s="288"/>
      <c r="CC8" s="288"/>
      <c r="CD8" s="288"/>
      <c r="CE8" s="288"/>
      <c r="CF8" s="288"/>
      <c r="CG8" s="288"/>
      <c r="CH8" s="288"/>
      <c r="CI8" s="288"/>
      <c r="CJ8" s="288"/>
      <c r="CK8" s="288"/>
      <c r="CL8" s="288"/>
      <c r="CM8" s="288"/>
      <c r="CN8" s="288"/>
      <c r="CO8" s="288"/>
      <c r="CP8" s="288"/>
      <c r="CQ8" s="288"/>
      <c r="CR8" s="288"/>
      <c r="CS8" s="288"/>
      <c r="CT8" s="288"/>
      <c r="CU8" s="288"/>
      <c r="CV8" s="288"/>
      <c r="CW8" s="288"/>
      <c r="CX8" s="288"/>
      <c r="CY8" s="288"/>
      <c r="CZ8" s="288"/>
      <c r="DA8" s="288"/>
      <c r="DB8" s="288"/>
      <c r="DC8" s="288"/>
      <c r="DD8" s="288"/>
      <c r="DE8" s="288"/>
      <c r="DF8" s="288"/>
      <c r="DG8" s="288"/>
      <c r="DH8" s="288"/>
      <c r="DI8" s="288"/>
      <c r="DJ8" s="288"/>
      <c r="DK8" s="288"/>
      <c r="DL8" s="288"/>
      <c r="DM8" s="288"/>
      <c r="DN8" s="288"/>
      <c r="DO8" s="288"/>
      <c r="DP8" s="288"/>
      <c r="DQ8" s="288"/>
      <c r="DR8" s="288"/>
      <c r="DS8" s="288"/>
      <c r="DT8" s="288"/>
      <c r="DU8" s="288"/>
      <c r="DV8" s="288"/>
      <c r="DW8" s="288"/>
      <c r="DX8" s="288"/>
      <c r="DY8" s="288"/>
      <c r="DZ8" s="288"/>
      <c r="EA8" s="288"/>
      <c r="EB8" s="288"/>
      <c r="EC8" s="288"/>
      <c r="ED8" s="288"/>
      <c r="EE8" s="288"/>
      <c r="EF8" s="288"/>
      <c r="EG8" s="288"/>
      <c r="EH8" s="288"/>
      <c r="EI8" s="288"/>
      <c r="EJ8" s="288"/>
      <c r="EK8" s="288"/>
      <c r="EL8" s="288"/>
      <c r="EM8" s="288"/>
      <c r="EN8" s="288"/>
      <c r="EO8" s="288"/>
      <c r="EP8" s="288"/>
      <c r="EQ8" s="288"/>
      <c r="ER8" s="288"/>
      <c r="ES8" s="288"/>
      <c r="ET8" s="288"/>
      <c r="EU8" s="288"/>
      <c r="EV8" s="288"/>
      <c r="EW8" s="288"/>
      <c r="EX8" s="288"/>
      <c r="EY8" s="288"/>
      <c r="EZ8" s="288"/>
      <c r="FA8" s="288"/>
      <c r="FB8" s="288"/>
      <c r="FC8" s="288"/>
      <c r="FD8" s="288"/>
      <c r="FE8" s="288"/>
      <c r="FF8" s="288"/>
      <c r="FG8" s="288"/>
      <c r="FH8" s="288"/>
      <c r="FI8" s="288"/>
      <c r="FJ8" s="288"/>
      <c r="FK8" s="288"/>
      <c r="FL8" s="288"/>
      <c r="FM8" s="288"/>
      <c r="FN8" s="288"/>
      <c r="FO8" s="288"/>
      <c r="FP8" s="288"/>
      <c r="FQ8" s="288"/>
      <c r="FR8" s="288"/>
      <c r="FS8" s="288"/>
      <c r="FT8" s="288"/>
      <c r="FU8" s="288"/>
      <c r="FV8" s="288"/>
      <c r="FW8" s="288"/>
      <c r="FX8" s="288"/>
      <c r="FY8" s="288"/>
      <c r="FZ8" s="288"/>
      <c r="GA8" s="288"/>
      <c r="GB8" s="288"/>
      <c r="GC8" s="288"/>
      <c r="GD8" s="288"/>
      <c r="GE8" s="288"/>
      <c r="GF8" s="288"/>
      <c r="GG8" s="288"/>
      <c r="GH8" s="288"/>
      <c r="GI8" s="288"/>
      <c r="GJ8" s="288"/>
      <c r="GK8" s="288"/>
      <c r="GL8" s="288"/>
      <c r="GM8" s="288"/>
      <c r="GN8" s="288"/>
      <c r="GO8" s="288"/>
      <c r="GP8" s="288"/>
      <c r="GQ8" s="288"/>
      <c r="GR8" s="288"/>
      <c r="GS8" s="288"/>
      <c r="GT8" s="288"/>
      <c r="GU8" s="288"/>
      <c r="GV8" s="288"/>
      <c r="GW8" s="288"/>
      <c r="GX8" s="288"/>
      <c r="GY8" s="288"/>
      <c r="GZ8" s="288"/>
      <c r="HA8" s="288"/>
      <c r="HB8" s="288"/>
      <c r="HC8" s="288"/>
      <c r="HD8" s="288"/>
      <c r="HE8" s="288"/>
      <c r="HF8" s="288"/>
      <c r="HG8" s="288"/>
      <c r="HH8" s="288"/>
      <c r="HI8" s="288"/>
      <c r="HJ8" s="288"/>
      <c r="HK8" s="288"/>
      <c r="HL8" s="288"/>
    </row>
    <row r="9" spans="2:220" s="286" customFormat="1" ht="30" customHeight="1">
      <c r="B9" s="354" t="s">
        <v>182</v>
      </c>
      <c r="C9" s="292" t="s">
        <v>191</v>
      </c>
      <c r="D9" s="293">
        <f>'AJI INVERNADERO'!G23</f>
        <v>675000</v>
      </c>
      <c r="E9" s="357">
        <f>SUM(D9:D12)</f>
        <v>31536000</v>
      </c>
      <c r="F9" s="288"/>
      <c r="G9" s="289"/>
      <c r="H9" s="288"/>
      <c r="I9" s="288"/>
      <c r="J9" s="288"/>
      <c r="K9" s="288"/>
      <c r="L9" s="288"/>
      <c r="M9" s="288"/>
      <c r="N9" s="288"/>
      <c r="O9" s="288"/>
      <c r="P9" s="288"/>
      <c r="Q9" s="288"/>
      <c r="R9" s="288"/>
      <c r="S9" s="288"/>
      <c r="T9" s="288"/>
      <c r="U9" s="288"/>
      <c r="V9" s="288"/>
      <c r="W9" s="288"/>
      <c r="X9" s="288"/>
      <c r="Y9" s="288"/>
      <c r="Z9" s="288"/>
      <c r="AA9" s="288"/>
      <c r="AB9" s="288"/>
      <c r="AC9" s="288"/>
      <c r="AD9" s="288"/>
      <c r="AE9" s="288"/>
      <c r="AF9" s="288"/>
      <c r="AG9" s="288"/>
      <c r="AH9" s="288"/>
      <c r="AI9" s="288"/>
      <c r="AJ9" s="288"/>
      <c r="AK9" s="288"/>
      <c r="AL9" s="288"/>
      <c r="AM9" s="288"/>
      <c r="AN9" s="288"/>
      <c r="AO9" s="288"/>
      <c r="AP9" s="288"/>
      <c r="AQ9" s="288"/>
      <c r="AR9" s="288"/>
      <c r="AS9" s="288"/>
      <c r="AT9" s="288"/>
      <c r="AU9" s="288"/>
      <c r="AV9" s="288"/>
      <c r="AW9" s="288"/>
      <c r="AX9" s="288"/>
      <c r="AY9" s="288"/>
      <c r="AZ9" s="288"/>
      <c r="BA9" s="288"/>
      <c r="BB9" s="288"/>
      <c r="BC9" s="288"/>
      <c r="BD9" s="288"/>
      <c r="BE9" s="288"/>
      <c r="BF9" s="288"/>
      <c r="BG9" s="288"/>
      <c r="BH9" s="288"/>
      <c r="BI9" s="288"/>
      <c r="BJ9" s="288"/>
      <c r="BK9" s="288"/>
      <c r="BL9" s="288"/>
      <c r="BM9" s="288"/>
      <c r="BN9" s="288"/>
      <c r="BO9" s="288"/>
      <c r="BP9" s="288"/>
      <c r="BQ9" s="288"/>
      <c r="BR9" s="288"/>
      <c r="BS9" s="288"/>
      <c r="BT9" s="288"/>
      <c r="BU9" s="288"/>
      <c r="BV9" s="288"/>
      <c r="BW9" s="288"/>
      <c r="BX9" s="288"/>
      <c r="BY9" s="288"/>
      <c r="BZ9" s="288"/>
      <c r="CA9" s="288"/>
      <c r="CB9" s="288"/>
      <c r="CC9" s="288"/>
      <c r="CD9" s="288"/>
      <c r="CE9" s="288"/>
      <c r="CF9" s="288"/>
      <c r="CG9" s="288"/>
      <c r="CH9" s="288"/>
      <c r="CI9" s="288"/>
      <c r="CJ9" s="288"/>
      <c r="CK9" s="288"/>
      <c r="CL9" s="288"/>
      <c r="CM9" s="288"/>
      <c r="CN9" s="288"/>
      <c r="CO9" s="288"/>
      <c r="CP9" s="288"/>
      <c r="CQ9" s="288"/>
      <c r="CR9" s="288"/>
      <c r="CS9" s="288"/>
      <c r="CT9" s="288"/>
      <c r="CU9" s="288"/>
      <c r="CV9" s="288"/>
      <c r="CW9" s="288"/>
      <c r="CX9" s="288"/>
      <c r="CY9" s="288"/>
      <c r="CZ9" s="288"/>
      <c r="DA9" s="288"/>
      <c r="DB9" s="288"/>
      <c r="DC9" s="288"/>
      <c r="DD9" s="288"/>
      <c r="DE9" s="288"/>
      <c r="DF9" s="288"/>
      <c r="DG9" s="288"/>
      <c r="DH9" s="288"/>
      <c r="DI9" s="288"/>
      <c r="DJ9" s="288"/>
      <c r="DK9" s="288"/>
      <c r="DL9" s="288"/>
      <c r="DM9" s="288"/>
      <c r="DN9" s="288"/>
      <c r="DO9" s="288"/>
      <c r="DP9" s="288"/>
      <c r="DQ9" s="288"/>
      <c r="DR9" s="288"/>
      <c r="DS9" s="288"/>
      <c r="DT9" s="288"/>
      <c r="DU9" s="288"/>
      <c r="DV9" s="288"/>
      <c r="DW9" s="288"/>
      <c r="DX9" s="288"/>
      <c r="DY9" s="288"/>
      <c r="DZ9" s="288"/>
      <c r="EA9" s="288"/>
      <c r="EB9" s="288"/>
      <c r="EC9" s="288"/>
      <c r="ED9" s="288"/>
      <c r="EE9" s="288"/>
      <c r="EF9" s="288"/>
      <c r="EG9" s="288"/>
      <c r="EH9" s="288"/>
      <c r="EI9" s="288"/>
      <c r="EJ9" s="288"/>
      <c r="EK9" s="288"/>
      <c r="EL9" s="288"/>
      <c r="EM9" s="288"/>
      <c r="EN9" s="288"/>
      <c r="EO9" s="288"/>
      <c r="EP9" s="288"/>
      <c r="EQ9" s="288"/>
      <c r="ER9" s="288"/>
      <c r="ES9" s="288"/>
      <c r="ET9" s="288"/>
      <c r="EU9" s="288"/>
      <c r="EV9" s="288"/>
      <c r="EW9" s="288"/>
      <c r="EX9" s="288"/>
      <c r="EY9" s="288"/>
      <c r="EZ9" s="288"/>
      <c r="FA9" s="288"/>
      <c r="FB9" s="288"/>
      <c r="FC9" s="288"/>
      <c r="FD9" s="288"/>
      <c r="FE9" s="288"/>
      <c r="FF9" s="288"/>
      <c r="FG9" s="288"/>
      <c r="FH9" s="288"/>
      <c r="FI9" s="288"/>
      <c r="FJ9" s="288"/>
      <c r="FK9" s="288"/>
      <c r="FL9" s="288"/>
      <c r="FM9" s="288"/>
      <c r="FN9" s="288"/>
      <c r="FO9" s="288"/>
      <c r="FP9" s="288"/>
      <c r="FQ9" s="288"/>
      <c r="FR9" s="288"/>
      <c r="FS9" s="288"/>
      <c r="FT9" s="288"/>
      <c r="FU9" s="288"/>
      <c r="FV9" s="288"/>
      <c r="FW9" s="288"/>
      <c r="FX9" s="288"/>
      <c r="FY9" s="288"/>
      <c r="FZ9" s="288"/>
      <c r="GA9" s="288"/>
      <c r="GB9" s="288"/>
      <c r="GC9" s="288"/>
      <c r="GD9" s="288"/>
      <c r="GE9" s="288"/>
      <c r="GF9" s="288"/>
      <c r="GG9" s="288"/>
      <c r="GH9" s="288"/>
      <c r="GI9" s="288"/>
      <c r="GJ9" s="288"/>
      <c r="GK9" s="288"/>
      <c r="GL9" s="288"/>
      <c r="GM9" s="288"/>
      <c r="GN9" s="288"/>
      <c r="GO9" s="288"/>
      <c r="GP9" s="288"/>
      <c r="GQ9" s="288"/>
      <c r="GR9" s="288"/>
      <c r="GS9" s="288"/>
      <c r="GT9" s="288"/>
      <c r="GU9" s="288"/>
      <c r="GV9" s="288"/>
      <c r="GW9" s="288"/>
      <c r="GX9" s="288"/>
      <c r="GY9" s="288"/>
      <c r="GZ9" s="288"/>
      <c r="HA9" s="288"/>
      <c r="HB9" s="288"/>
      <c r="HC9" s="288"/>
      <c r="HD9" s="288"/>
      <c r="HE9" s="288"/>
      <c r="HF9" s="288"/>
      <c r="HG9" s="288"/>
      <c r="HH9" s="288"/>
      <c r="HI9" s="288"/>
      <c r="HJ9" s="288"/>
      <c r="HK9" s="288"/>
      <c r="HL9" s="288"/>
    </row>
    <row r="10" spans="2:220" ht="30" customHeight="1">
      <c r="B10" s="355"/>
      <c r="C10" s="294" t="s">
        <v>183</v>
      </c>
      <c r="D10" s="295">
        <f>SUM('AJI INVERNADERO'!G26:G36)</f>
        <v>19791000</v>
      </c>
      <c r="E10" s="358"/>
    </row>
    <row r="11" spans="2:220" ht="30" customHeight="1">
      <c r="B11" s="355"/>
      <c r="C11" s="296" t="s">
        <v>184</v>
      </c>
      <c r="D11" s="297">
        <f>SUM('AJI INVERNADERO'!G39)</f>
        <v>7290000</v>
      </c>
      <c r="E11" s="358"/>
    </row>
    <row r="12" spans="2:220" ht="30" customHeight="1" thickBot="1">
      <c r="B12" s="356"/>
      <c r="C12" s="298" t="s">
        <v>185</v>
      </c>
      <c r="D12" s="299">
        <f>SUM('AJI INVERNADERO'!G41)</f>
        <v>3780000</v>
      </c>
      <c r="E12" s="359"/>
    </row>
    <row r="13" spans="2:220" ht="30" customHeight="1" thickBot="1">
      <c r="B13" s="300" t="s">
        <v>186</v>
      </c>
      <c r="C13" s="301" t="s">
        <v>24</v>
      </c>
      <c r="D13" s="302">
        <f>SUM('AJI INVERNADERO'!G52:G53)</f>
        <v>4530510</v>
      </c>
      <c r="E13" s="303">
        <v>4530510</v>
      </c>
    </row>
    <row r="14" spans="2:220" ht="30" customHeight="1">
      <c r="B14" s="360" t="s">
        <v>26</v>
      </c>
      <c r="C14" s="304" t="s">
        <v>106</v>
      </c>
      <c r="D14" s="305">
        <f>SUM('AJI INVERNADERO'!G60:G68)</f>
        <v>14648911.9</v>
      </c>
      <c r="E14" s="363">
        <f>SUM(D14:D20)</f>
        <v>28789903.196507871</v>
      </c>
    </row>
    <row r="15" spans="2:220" ht="30" customHeight="1">
      <c r="B15" s="361"/>
      <c r="C15" s="306" t="s">
        <v>187</v>
      </c>
      <c r="D15" s="297">
        <f>SUM('AJI INVERNADERO'!G70:G71)</f>
        <v>3410080</v>
      </c>
      <c r="E15" s="364"/>
    </row>
    <row r="16" spans="2:220" ht="30" customHeight="1">
      <c r="B16" s="361"/>
      <c r="C16" s="307" t="s">
        <v>192</v>
      </c>
      <c r="D16" s="297">
        <f>SUM('AJI INVERNADERO'!G73)</f>
        <v>5880000</v>
      </c>
      <c r="E16" s="364"/>
      <c r="N16" s="308"/>
    </row>
    <row r="17" spans="2:6" ht="30" customHeight="1">
      <c r="B17" s="361"/>
      <c r="C17" s="309" t="s">
        <v>57</v>
      </c>
      <c r="D17" s="297">
        <f>SUM('AJI INVERNADERO'!G76:G82)</f>
        <v>3000150</v>
      </c>
      <c r="E17" s="364"/>
    </row>
    <row r="18" spans="2:6" ht="30" customHeight="1">
      <c r="B18" s="361"/>
      <c r="C18" s="307" t="s">
        <v>112</v>
      </c>
      <c r="D18" s="297">
        <f>SUM('AJI INVERNADERO'!G86:G94)</f>
        <v>856032.68500000006</v>
      </c>
      <c r="E18" s="364"/>
    </row>
    <row r="19" spans="2:6" ht="30" customHeight="1">
      <c r="B19" s="361"/>
      <c r="C19" s="310" t="s">
        <v>180</v>
      </c>
      <c r="D19" s="297">
        <f>SUM('AJI INVERNADERO'!G97:G98)</f>
        <v>263077.53150787699</v>
      </c>
      <c r="E19" s="364"/>
      <c r="F19" s="311"/>
    </row>
    <row r="20" spans="2:6" ht="30" customHeight="1">
      <c r="B20" s="361"/>
      <c r="C20" s="312" t="s">
        <v>169</v>
      </c>
      <c r="D20" s="297">
        <f>SUM('AJI INVERNADERO'!G101:G108)</f>
        <v>731651.08</v>
      </c>
      <c r="E20" s="364"/>
    </row>
    <row r="21" spans="2:6" ht="30" customHeight="1" thickBot="1">
      <c r="B21" s="362"/>
      <c r="C21" s="313"/>
      <c r="D21" s="299"/>
      <c r="E21" s="365"/>
    </row>
    <row r="22" spans="2:6" ht="30" customHeight="1" thickBot="1">
      <c r="B22" s="314" t="s">
        <v>188</v>
      </c>
      <c r="C22" s="315" t="s">
        <v>189</v>
      </c>
      <c r="D22" s="316">
        <f>SUM('AJI INVERNADERO'!G112)</f>
        <v>1500000</v>
      </c>
      <c r="E22" s="317">
        <f>SUM(D22)</f>
        <v>1500000</v>
      </c>
    </row>
    <row r="23" spans="2:6" ht="30" customHeight="1" thickBot="1">
      <c r="E23" s="319"/>
    </row>
    <row r="24" spans="2:6" ht="30" customHeight="1">
      <c r="C24" s="320" t="s">
        <v>34</v>
      </c>
      <c r="D24" s="321">
        <f>E9+E13+E14+E22</f>
        <v>66356413.196507871</v>
      </c>
      <c r="E24" s="319"/>
    </row>
    <row r="25" spans="2:6" ht="30" customHeight="1">
      <c r="C25" s="322" t="s">
        <v>35</v>
      </c>
      <c r="D25" s="323">
        <f>D24*0.05</f>
        <v>3317820.6598253939</v>
      </c>
      <c r="E25" s="319"/>
    </row>
    <row r="26" spans="2:6" ht="30" customHeight="1">
      <c r="C26" s="322" t="s">
        <v>36</v>
      </c>
      <c r="D26" s="323">
        <f>D25+D24</f>
        <v>69674233.856333271</v>
      </c>
      <c r="E26" s="319"/>
    </row>
    <row r="27" spans="2:6" ht="30" customHeight="1">
      <c r="C27" s="322" t="s">
        <v>37</v>
      </c>
      <c r="D27" s="323">
        <f>C6</f>
        <v>85000000</v>
      </c>
      <c r="E27" s="319"/>
    </row>
    <row r="28" spans="2:6" ht="30" customHeight="1" thickBot="1">
      <c r="C28" s="324" t="s">
        <v>38</v>
      </c>
      <c r="D28" s="325">
        <f>D27-D26</f>
        <v>15325766.143666729</v>
      </c>
      <c r="E28" s="319"/>
    </row>
    <row r="29" spans="2:6" ht="50.1" customHeight="1">
      <c r="E29" s="319"/>
    </row>
    <row r="30" spans="2:6" ht="50.1" customHeight="1">
      <c r="E30" s="319"/>
    </row>
    <row r="31" spans="2:6" ht="50.1" customHeight="1">
      <c r="E31" s="319"/>
    </row>
    <row r="32" spans="2:6" ht="50.1" customHeight="1">
      <c r="E32" s="319"/>
    </row>
    <row r="33" spans="3:5" ht="50.1" customHeight="1">
      <c r="C33" s="326"/>
      <c r="D33" s="326"/>
      <c r="E33" s="327"/>
    </row>
    <row r="34" spans="3:5" ht="50.1" customHeight="1">
      <c r="C34" s="326"/>
      <c r="D34" s="326"/>
      <c r="E34" s="327"/>
    </row>
    <row r="35" spans="3:5" ht="50.1" customHeight="1">
      <c r="C35" s="326"/>
      <c r="D35" s="326"/>
      <c r="E35" s="327"/>
    </row>
    <row r="36" spans="3:5" ht="50.1" customHeight="1"/>
    <row r="37" spans="3:5" ht="50.1" customHeight="1"/>
    <row r="38" spans="3:5" ht="50.1" customHeight="1"/>
    <row r="39" spans="3:5" ht="50.1" customHeight="1"/>
    <row r="40" spans="3:5" ht="50.1" customHeight="1"/>
    <row r="41" spans="3:5" ht="50.1" customHeight="1"/>
    <row r="42" spans="3:5" ht="50.1" customHeight="1"/>
    <row r="43" spans="3:5" ht="50.1" customHeight="1"/>
    <row r="44" spans="3:5" ht="50.1" customHeight="1"/>
    <row r="45" spans="3:5" ht="50.1" customHeight="1"/>
    <row r="46" spans="3:5" ht="50.1" customHeight="1"/>
    <row r="47" spans="3:5" ht="50.1" customHeight="1"/>
    <row r="48" spans="3:5" ht="50.1" customHeight="1"/>
    <row r="49" ht="50.1" customHeight="1"/>
    <row r="50" ht="50.1" customHeight="1"/>
    <row r="51" ht="50.1" customHeight="1"/>
    <row r="52" ht="50.1" customHeight="1"/>
    <row r="53" ht="50.1" customHeight="1"/>
    <row r="54" ht="50.1" customHeight="1"/>
    <row r="55" ht="50.1" customHeight="1"/>
    <row r="56" ht="50.1" customHeight="1"/>
    <row r="57" ht="50.1" customHeight="1"/>
    <row r="58" ht="50.1" customHeight="1"/>
    <row r="59" ht="50.1" customHeight="1"/>
    <row r="60" ht="50.1" customHeight="1"/>
    <row r="61" ht="50.1" customHeight="1"/>
    <row r="62" ht="50.1" customHeight="1"/>
    <row r="63" ht="50.1" customHeight="1"/>
    <row r="64" ht="50.1" customHeight="1"/>
    <row r="65" ht="50.1" customHeight="1"/>
    <row r="66" ht="50.1" customHeight="1"/>
    <row r="67" ht="50.1" customHeight="1"/>
    <row r="68" ht="50.1" customHeight="1"/>
    <row r="69" ht="50.1" customHeight="1"/>
    <row r="70" ht="50.1" customHeight="1"/>
    <row r="71" ht="50.1" customHeight="1"/>
    <row r="72" ht="50.1" customHeight="1"/>
    <row r="73" ht="50.1" customHeight="1"/>
    <row r="74" ht="50.1" customHeight="1"/>
    <row r="75" ht="50.1" customHeight="1"/>
    <row r="76" ht="50.1" customHeight="1"/>
    <row r="77" ht="50.1" customHeight="1"/>
    <row r="78" ht="50.1" customHeight="1"/>
    <row r="79" ht="50.1" customHeight="1"/>
    <row r="80" ht="50.1" customHeight="1"/>
    <row r="81" ht="50.1" customHeight="1"/>
    <row r="82" ht="50.1" customHeight="1"/>
    <row r="83" ht="50.1" customHeight="1"/>
    <row r="84" ht="50.1" customHeight="1"/>
    <row r="85" ht="50.1" customHeight="1"/>
    <row r="86" ht="50.1" customHeight="1"/>
    <row r="87" ht="50.1" customHeight="1"/>
    <row r="88" ht="50.1" customHeight="1"/>
    <row r="89" ht="50.1" customHeight="1"/>
    <row r="90" ht="50.1" customHeight="1"/>
    <row r="91" ht="50.1" customHeight="1"/>
    <row r="92" ht="50.1" customHeight="1"/>
    <row r="93" ht="50.1" customHeight="1"/>
    <row r="94" ht="50.1" customHeight="1"/>
    <row r="95" ht="50.1" customHeight="1"/>
    <row r="96" ht="50.1" customHeight="1"/>
    <row r="97" ht="50.1" customHeight="1"/>
    <row r="98" ht="50.1" customHeight="1"/>
    <row r="99" ht="50.1" customHeight="1"/>
    <row r="100" ht="50.1" customHeight="1"/>
    <row r="101" ht="50.1" customHeight="1"/>
    <row r="102" ht="50.1" customHeight="1"/>
    <row r="103" ht="50.1" customHeight="1"/>
    <row r="104" ht="50.1" customHeight="1"/>
    <row r="105" ht="50.1" customHeight="1"/>
    <row r="106" ht="50.1" customHeight="1"/>
    <row r="107" ht="50.1" customHeight="1"/>
    <row r="108" ht="50.1" customHeight="1"/>
    <row r="109" ht="50.1" customHeight="1"/>
    <row r="110" ht="50.1" customHeight="1"/>
    <row r="111" ht="50.1" customHeight="1"/>
    <row r="112" ht="50.1" customHeight="1"/>
    <row r="113" ht="50.1" customHeight="1"/>
    <row r="114" ht="50.1" customHeight="1"/>
    <row r="115" ht="50.1" customHeight="1"/>
    <row r="116" ht="50.1" customHeight="1"/>
    <row r="117" ht="50.1" customHeight="1"/>
    <row r="118" ht="50.1" customHeight="1"/>
    <row r="119" ht="50.1" customHeight="1"/>
    <row r="120" ht="50.1" customHeight="1"/>
    <row r="121" ht="50.1" customHeight="1"/>
    <row r="122" ht="50.1" customHeight="1"/>
    <row r="123" ht="50.1" customHeight="1"/>
    <row r="124" ht="50.1" customHeight="1"/>
    <row r="125" ht="50.1" customHeight="1"/>
    <row r="126" ht="50.1" customHeight="1"/>
    <row r="127" ht="50.1" customHeight="1"/>
    <row r="128" ht="50.1" customHeight="1"/>
    <row r="129" ht="50.1" customHeight="1"/>
    <row r="130" ht="50.1" customHeight="1"/>
    <row r="131" ht="50.1" customHeight="1"/>
    <row r="132" ht="50.1" customHeight="1"/>
    <row r="133" ht="50.1" customHeight="1"/>
    <row r="134" ht="50.1" customHeight="1"/>
  </sheetData>
  <mergeCells count="4">
    <mergeCell ref="B9:B12"/>
    <mergeCell ref="E9:E12"/>
    <mergeCell ref="B14:B21"/>
    <mergeCell ref="E14:E21"/>
  </mergeCells>
  <pageMargins left="0.25" right="0.25" top="0.14000000000000001" bottom="1.24" header="0.12" footer="1.22"/>
  <pageSetup paperSize="5" scale="59" orientation="portrait" r:id="rId1"/>
  <headerFooter>
    <oddFooter>&amp;C&amp;"Helvetica Neue,Regular"&amp;12&amp;K000000&amp;P</oddFooter>
  </headerFooter>
  <rowBreaks count="1" manualBreakCount="1">
    <brk id="28" max="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3E9754A-563E-4868-AB57-60F5299F802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37E084-A4AF-44A2-8C3B-277D438A4D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DD9022-0117-4D8C-BD90-083DC46270A3}">
  <ds:schemaRefs>
    <ds:schemaRef ds:uri="http://schemas.openxmlformats.org/package/2006/metadata/core-properties"/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c5dbce2d-49dc-4afe-a5b0-d7fb7a901161"/>
    <ds:schemaRef ds:uri="http://schemas.microsoft.com/sharepoint/v3"/>
    <ds:schemaRef ds:uri="http://schemas.microsoft.com/office/2006/documentManagement/types"/>
    <ds:schemaRef ds:uri="1030f0af-99cb-42f1-88fc-acec73331192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AJI INVERNADERO</vt:lpstr>
      <vt:lpstr>2022</vt:lpstr>
      <vt:lpstr>RESUMEN </vt:lpstr>
      <vt:lpstr>'2022'!Área_de_impresión</vt:lpstr>
      <vt:lpstr>'AJI INVERNADERO'!Área_de_impresión</vt:lpstr>
      <vt:lpstr>'RESUMEN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Rioseco Ventura Victor Manuel</cp:lastModifiedBy>
  <cp:lastPrinted>2023-03-01T21:17:05Z</cp:lastPrinted>
  <dcterms:created xsi:type="dcterms:W3CDTF">2020-11-27T12:49:26Z</dcterms:created>
  <dcterms:modified xsi:type="dcterms:W3CDTF">2023-05-03T14:58:40Z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