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CALERA\"/>
    </mc:Choice>
  </mc:AlternateContent>
  <bookViews>
    <workbookView xWindow="0" yWindow="0" windowWidth="28800" windowHeight="11475"/>
  </bookViews>
  <sheets>
    <sheet name="Clavel Baj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2" l="1"/>
  <c r="G11" i="2"/>
  <c r="D86" i="2"/>
  <c r="F86" i="2"/>
  <c r="D81" i="2"/>
  <c r="G81" i="2" s="1"/>
  <c r="I80" i="2"/>
  <c r="I82" i="2" s="1"/>
  <c r="I81" i="2"/>
  <c r="G80" i="2"/>
  <c r="D79" i="2"/>
  <c r="G79" i="2" s="1"/>
  <c r="F77" i="2"/>
  <c r="F76" i="2"/>
  <c r="F75" i="2"/>
  <c r="F74" i="2"/>
  <c r="F72" i="2"/>
  <c r="F71" i="2"/>
  <c r="F70" i="2"/>
  <c r="F68" i="2"/>
  <c r="F67" i="2"/>
  <c r="F66" i="2"/>
  <c r="F61" i="2"/>
  <c r="G58" i="2"/>
  <c r="F58" i="2"/>
  <c r="G59" i="2"/>
  <c r="F59" i="2"/>
  <c r="F57" i="2"/>
  <c r="F56" i="2"/>
  <c r="F55" i="2"/>
  <c r="F53" i="2"/>
  <c r="F52" i="2" l="1"/>
  <c r="F51" i="2"/>
  <c r="D30" i="2"/>
  <c r="D31" i="2"/>
  <c r="G31" i="2" s="1"/>
  <c r="D33" i="2" l="1"/>
  <c r="G33" i="2" s="1"/>
  <c r="D32" i="2"/>
  <c r="G32" i="2" s="1"/>
  <c r="D29" i="2"/>
  <c r="F24" i="2"/>
  <c r="F25" i="2" s="1"/>
  <c r="F26" i="2" s="1"/>
  <c r="F27" i="2" s="1"/>
  <c r="F28" i="2" s="1"/>
  <c r="G30" i="2" s="1"/>
  <c r="G52" i="2" l="1"/>
  <c r="G53" i="2"/>
  <c r="G54" i="2"/>
  <c r="G56" i="2"/>
  <c r="G61" i="2"/>
  <c r="G62" i="2"/>
  <c r="G66" i="2"/>
  <c r="G69" i="2"/>
  <c r="G70" i="2"/>
  <c r="G72" i="2"/>
  <c r="G74" i="2"/>
  <c r="G76" i="2"/>
  <c r="G77" i="2"/>
  <c r="G78" i="2"/>
  <c r="G85" i="2"/>
  <c r="G86" i="2"/>
  <c r="G87" i="2"/>
  <c r="G88" i="2"/>
  <c r="E126" i="2"/>
  <c r="D126" i="2"/>
  <c r="G9" i="2" s="1"/>
  <c r="C126" i="2"/>
  <c r="C117" i="2"/>
  <c r="G97" i="2"/>
  <c r="C120" i="2" s="1"/>
  <c r="G75" i="2"/>
  <c r="G71" i="2"/>
  <c r="G68" i="2"/>
  <c r="G67" i="2"/>
  <c r="G65" i="2"/>
  <c r="G64" i="2"/>
  <c r="G57" i="2"/>
  <c r="G55" i="2"/>
  <c r="G51" i="2"/>
  <c r="G49" i="2"/>
  <c r="G45" i="2"/>
  <c r="C118" i="2" s="1"/>
  <c r="G43" i="2"/>
  <c r="G29" i="2"/>
  <c r="G28" i="2"/>
  <c r="G27" i="2"/>
  <c r="D27" i="2"/>
  <c r="G26" i="2"/>
  <c r="G25" i="2"/>
  <c r="G24" i="2"/>
  <c r="G23" i="2"/>
  <c r="G22" i="2"/>
  <c r="G21" i="2"/>
  <c r="G12" i="2"/>
  <c r="G102" i="2" s="1"/>
  <c r="G34" i="2" l="1"/>
  <c r="G89" i="2"/>
  <c r="C119" i="2" s="1"/>
  <c r="C116" i="2" l="1"/>
  <c r="G99" i="2"/>
  <c r="G100" i="2" s="1"/>
  <c r="C121" i="2" l="1"/>
  <c r="C122" i="2" s="1"/>
  <c r="D116" i="2" s="1"/>
  <c r="G101" i="2"/>
  <c r="G103" i="2" s="1"/>
  <c r="D127" i="2" l="1"/>
  <c r="C127" i="2"/>
  <c r="E127" i="2"/>
  <c r="D118" i="2"/>
  <c r="D120" i="2"/>
  <c r="D119" i="2"/>
  <c r="D121" i="2"/>
  <c r="D122" i="2" l="1"/>
  <c r="G104" i="2"/>
</calcChain>
</file>

<file path=xl/sharedStrings.xml><?xml version="1.0" encoding="utf-8"?>
<sst xmlns="http://schemas.openxmlformats.org/spreadsheetml/2006/main" count="238" uniqueCount="151">
  <si>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</si>
  <si>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</si>
  <si>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</si>
  <si>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</si>
  <si>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</si>
  <si>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</si>
  <si>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</si>
  <si>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</si>
  <si>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</si>
  <si>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</si>
  <si>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</si>
  <si>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</si>
  <si>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</si>
  <si>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</si>
  <si>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</si>
  <si>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</si>
  <si>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</si>
  <si>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</si>
  <si>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</si>
  <si>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</si>
  <si>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</si>
  <si>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</si>
  <si>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</si>
  <si>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</si>
  <si>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</si>
  <si>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</si>
  <si>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</si>
  <si>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</si>
  <si>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</si>
  <si>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</si>
  <si>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</si>
  <si>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</si>
  <si>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</si>
  <si>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</si>
  <si>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</si>
  <si>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</si>
  <si>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</si>
  <si>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</si>
  <si>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</si>
  <si>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</si>
  <si>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</si>
  <si>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</si>
  <si>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</si>
  <si>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</si>
  <si>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</si>
  <si>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</si>
  <si>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</si>
  <si>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</si>
  <si>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</si>
  <si>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</si>
  <si>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</si>
  <si>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</si>
  <si>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</si>
  <si>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</si>
  <si>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</si>
  <si>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</si>
  <si>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</si>
  <si>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</si>
  <si>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</si>
  <si>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</si>
  <si>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</si>
  <si>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</si>
  <si>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Todas la comunas del Área</t>
  </si>
  <si>
    <t>VALPARAISO</t>
  </si>
  <si>
    <t>TODO EL AÑO</t>
  </si>
  <si>
    <t>PRECIO ESPERADO ($/VARA)</t>
  </si>
  <si>
    <t>MERCADO INTERNO FLORES</t>
  </si>
  <si>
    <t>Plantación</t>
  </si>
  <si>
    <t xml:space="preserve">Desinfecciones </t>
  </si>
  <si>
    <t>Cosecha</t>
  </si>
  <si>
    <t>Pinzado</t>
  </si>
  <si>
    <t>Preparación de suelo</t>
  </si>
  <si>
    <t>todo el año</t>
  </si>
  <si>
    <t>un</t>
  </si>
  <si>
    <t>Nitrato Potasio</t>
  </si>
  <si>
    <t>Nitrato de magnesio</t>
  </si>
  <si>
    <t>Fosfato Monopotasico</t>
  </si>
  <si>
    <t>Nitrato de calcio</t>
  </si>
  <si>
    <t>Oxifluirfen</t>
  </si>
  <si>
    <t>l</t>
  </si>
  <si>
    <t>L</t>
  </si>
  <si>
    <t>Abamectina</t>
  </si>
  <si>
    <t>z</t>
  </si>
  <si>
    <t>Labores de mantencion y limpieza</t>
  </si>
  <si>
    <t>marzo-abril</t>
  </si>
  <si>
    <t>Tiametoxam + lanbda cihaotrina</t>
  </si>
  <si>
    <t>1 l</t>
  </si>
  <si>
    <t>Lambda cihalotrina</t>
  </si>
  <si>
    <t>1/4 L</t>
  </si>
  <si>
    <t>FUNGICDAS E INSECTICIDAS</t>
  </si>
  <si>
    <t>Trifloxistrobina + ciproconazol</t>
  </si>
  <si>
    <t>cc</t>
  </si>
  <si>
    <t>Propiconazole</t>
  </si>
  <si>
    <t>Rendimiento (varas/año x 5 inv)</t>
  </si>
  <si>
    <t>Costo unitario ($/vara (*)</t>
  </si>
  <si>
    <t>RENDIMIENTO varas/ 1050 m2 /año</t>
  </si>
  <si>
    <t>mes</t>
  </si>
  <si>
    <t>set</t>
  </si>
  <si>
    <t>COSTOS DIRECTOS DE PRODUCCIÓN 1050 M2 (5 INV)  (INCLUYE IVA)</t>
  </si>
  <si>
    <t>DIVERSAS</t>
  </si>
  <si>
    <t>Preparacion cama e instalación de cintas</t>
  </si>
  <si>
    <t xml:space="preserve">Desbotonado </t>
  </si>
  <si>
    <t>Encasillado</t>
  </si>
  <si>
    <t>Noviembre</t>
  </si>
  <si>
    <t>Octubre</t>
  </si>
  <si>
    <t>Diciembre</t>
  </si>
  <si>
    <t>Todo el año</t>
  </si>
  <si>
    <t>septiembre</t>
  </si>
  <si>
    <t>noviembre</t>
  </si>
  <si>
    <t>1</t>
  </si>
  <si>
    <t>Cajas embalaje</t>
  </si>
  <si>
    <t xml:space="preserve">un </t>
  </si>
  <si>
    <t>Electricidad riego</t>
  </si>
  <si>
    <t>Repocision malla tutora</t>
  </si>
  <si>
    <t>rollo 420</t>
  </si>
  <si>
    <t>Propamocarb</t>
  </si>
  <si>
    <t>Extractos algas (genérico)</t>
  </si>
  <si>
    <t>Estimulantes radiculares</t>
  </si>
  <si>
    <t xml:space="preserve">Fierro Quelatado 6% </t>
  </si>
  <si>
    <t>2,5 kg</t>
  </si>
  <si>
    <t>Carbendazima</t>
  </si>
  <si>
    <t>2 kg</t>
  </si>
  <si>
    <t>Clavel bajo invernadero</t>
  </si>
  <si>
    <t>Isopirazam +Azoxistrobina</t>
  </si>
  <si>
    <t>JM</t>
  </si>
  <si>
    <t>Reposicion polietileno Techo (50 % superficie)</t>
  </si>
  <si>
    <t>Reposicion polietileno cortinas (30 % superficie)</t>
  </si>
  <si>
    <t>Reposicion Polietileno Canoas</t>
  </si>
  <si>
    <t>Postulada de malllas sombra</t>
  </si>
  <si>
    <t>Marzo</t>
  </si>
  <si>
    <t>Nit -one</t>
  </si>
  <si>
    <t>Master Micromix</t>
  </si>
  <si>
    <t>Acido Fosfórico</t>
  </si>
  <si>
    <t>Ultrasol flor corte</t>
  </si>
  <si>
    <t>Litro</t>
  </si>
  <si>
    <t>Paraquat (SAG 3574)</t>
  </si>
  <si>
    <t>Konan</t>
  </si>
  <si>
    <t>5 l</t>
  </si>
  <si>
    <t xml:space="preserve">Bioestimulantes foliares </t>
  </si>
  <si>
    <t>envase 10 l</t>
  </si>
  <si>
    <t>Equipos de protección personal</t>
  </si>
  <si>
    <t>m2</t>
  </si>
  <si>
    <t>Reparacion Polietileno Techos (50%)</t>
  </si>
  <si>
    <t>Reparacion Polietileno Cortinas y botaperros (30%)</t>
  </si>
  <si>
    <t>Reparacion Polietileno Canaletas (50%)</t>
  </si>
  <si>
    <t>Maderas reposicion (charlata-clavos)</t>
  </si>
  <si>
    <t>ml</t>
  </si>
  <si>
    <t>Repocision cintas de riego (50%)</t>
  </si>
  <si>
    <t>Esqueje enraizado - valor año</t>
  </si>
  <si>
    <t>Retiro de malla sombra</t>
  </si>
  <si>
    <t>La 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</si>
</sst>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19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8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8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4" fillId="2" borderId="56" xfId="0" applyNumberFormat="1" applyFont="1" applyFill="1" applyBorder="1" applyAlignment="1"/>
    <xf numFmtId="0" fontId="20" fillId="2" borderId="1" xfId="0" applyFont="1" applyFill="1" applyBorder="1" applyAlignment="1"/>
    <xf numFmtId="49" fontId="4" fillId="2" borderId="6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164" fontId="13" fillId="8" borderId="55" xfId="1" applyFont="1" applyFill="1" applyBorder="1" applyAlignment="1">
      <alignment vertical="center"/>
    </xf>
    <xf numFmtId="164" fontId="4" fillId="2" borderId="6" xfId="1" applyFont="1" applyFill="1" applyBorder="1" applyAlignment="1"/>
    <xf numFmtId="3" fontId="0" fillId="0" borderId="0" xfId="0" applyNumberFormat="1" applyFont="1" applyAlignment="1"/>
    <xf numFmtId="49" fontId="2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2" fontId="4" fillId="2" borderId="6" xfId="0" applyNumberFormat="1" applyFont="1" applyFill="1" applyBorder="1" applyAlignment="1">
      <alignment wrapText="1"/>
    </xf>
    <xf numFmtId="164" fontId="0" fillId="0" borderId="0" xfId="1" applyFont="1" applyAlignment="1"/>
    <xf numFmtId="0" fontId="21" fillId="0" borderId="0" xfId="0" applyNumberFormat="1" applyFont="1" applyAlignment="1"/>
    <xf numFmtId="0" fontId="19" fillId="0" borderId="0" xfId="0" applyNumberFormat="1" applyFont="1" applyAlignment="1"/>
    <xf numFmtId="49" fontId="22" fillId="2" borderId="6" xfId="0" applyNumberFormat="1" applyFont="1" applyFill="1" applyBorder="1" applyAlignment="1"/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/>
    <xf numFmtId="3" fontId="22" fillId="2" borderId="6" xfId="0" applyNumberFormat="1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441960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8"/>
  <sheetViews>
    <sheetView tabSelected="1" zoomScale="110" zoomScaleNormal="110" workbookViewId="0">
      <selection activeCell="L10" sqref="L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7109375" style="1" customWidth="1"/>
    <col min="3" max="3" width="17.7109375" style="1" customWidth="1"/>
    <col min="4" max="4" width="9.42578125" style="1" customWidth="1"/>
    <col min="5" max="5" width="13.5703125" style="1" customWidth="1"/>
    <col min="6" max="6" width="9.42578125" style="1" customWidth="1"/>
    <col min="7" max="7" width="16.140625" style="1" customWidth="1"/>
    <col min="8" max="255" width="10.85546875" style="1" customWidth="1"/>
  </cols>
  <sheetData>
    <row r="1" spans="1:12" ht="15" customHeight="1" x14ac:dyDescent="0.25">
      <c r="A1" s="2"/>
      <c r="B1" s="2"/>
      <c r="C1" s="2"/>
      <c r="D1" s="2"/>
      <c r="E1" s="2"/>
      <c r="F1" s="2"/>
      <c r="G1" s="2"/>
    </row>
    <row r="2" spans="1:12" ht="15" customHeight="1" x14ac:dyDescent="0.25">
      <c r="A2" s="2"/>
      <c r="B2" s="2"/>
      <c r="C2" s="2"/>
      <c r="D2" s="2"/>
      <c r="E2" s="2"/>
      <c r="F2" s="2"/>
      <c r="G2" s="2"/>
    </row>
    <row r="3" spans="1:12" ht="15" customHeight="1" x14ac:dyDescent="0.25">
      <c r="A3" s="2"/>
      <c r="B3" s="2"/>
      <c r="C3" s="2"/>
      <c r="D3" s="2"/>
      <c r="E3" s="2"/>
      <c r="F3" s="2"/>
      <c r="G3" s="2"/>
    </row>
    <row r="4" spans="1:12" ht="15" customHeight="1" x14ac:dyDescent="0.25">
      <c r="A4" s="2"/>
      <c r="B4" s="2"/>
      <c r="C4" s="2"/>
      <c r="D4" s="2"/>
      <c r="E4" s="2"/>
      <c r="F4" s="2"/>
      <c r="G4" s="2"/>
    </row>
    <row r="5" spans="1:12" ht="15" customHeight="1" x14ac:dyDescent="0.25">
      <c r="A5" s="2"/>
      <c r="B5" s="2"/>
      <c r="C5" s="2"/>
      <c r="D5" s="2"/>
      <c r="E5" s="2"/>
      <c r="F5" s="2"/>
      <c r="G5" s="2"/>
    </row>
    <row r="6" spans="1:12" ht="15" customHeight="1" x14ac:dyDescent="0.25">
      <c r="A6" s="2"/>
      <c r="B6" s="2"/>
      <c r="C6" s="2"/>
      <c r="D6" s="2"/>
      <c r="E6" s="2"/>
      <c r="F6" s="2"/>
      <c r="G6" s="2"/>
    </row>
    <row r="7" spans="1:12" ht="15" customHeight="1" x14ac:dyDescent="0.25">
      <c r="A7" s="2"/>
      <c r="B7" s="2"/>
      <c r="C7" s="2"/>
      <c r="D7" s="2"/>
      <c r="E7" s="2"/>
      <c r="F7" s="2"/>
      <c r="G7" s="2"/>
    </row>
    <row r="8" spans="1:12" ht="15" customHeight="1" x14ac:dyDescent="0.25">
      <c r="A8" s="2"/>
      <c r="B8" s="3"/>
      <c r="C8" s="4"/>
      <c r="D8" s="2"/>
      <c r="E8" s="4"/>
      <c r="F8" s="4"/>
      <c r="G8" s="4"/>
    </row>
    <row r="9" spans="1:12" ht="12" customHeight="1" x14ac:dyDescent="0.25">
      <c r="A9" s="5"/>
      <c r="B9" s="6" t="s">
        <v>0</v>
      </c>
      <c r="C9" s="140" t="s">
        <v>122</v>
      </c>
      <c r="D9" s="7"/>
      <c r="E9" s="158" t="s">
        <v>95</v>
      </c>
      <c r="F9" s="159"/>
      <c r="G9" s="8">
        <f>+D126</f>
        <v>120000</v>
      </c>
    </row>
    <row r="10" spans="1:12" ht="38.25" customHeight="1" x14ac:dyDescent="0.25">
      <c r="A10" s="5"/>
      <c r="B10" s="9" t="s">
        <v>1</v>
      </c>
      <c r="C10" s="10" t="s">
        <v>99</v>
      </c>
      <c r="D10" s="11"/>
      <c r="E10" s="160" t="s">
        <v>2</v>
      </c>
      <c r="F10" s="161"/>
      <c r="G10" s="12" t="s">
        <v>64</v>
      </c>
    </row>
    <row r="11" spans="1:12" ht="18" customHeight="1" x14ac:dyDescent="0.25">
      <c r="A11" s="5"/>
      <c r="B11" s="9" t="s">
        <v>3</v>
      </c>
      <c r="C11" s="12" t="s">
        <v>4</v>
      </c>
      <c r="D11" s="11"/>
      <c r="E11" s="160" t="s">
        <v>65</v>
      </c>
      <c r="F11" s="161"/>
      <c r="G11" s="13">
        <f>70000/400</f>
        <v>175</v>
      </c>
    </row>
    <row r="12" spans="1:12" ht="18.600000000000001" customHeight="1" x14ac:dyDescent="0.25">
      <c r="A12" s="5"/>
      <c r="B12" s="9" t="s">
        <v>5</v>
      </c>
      <c r="C12" s="14" t="s">
        <v>63</v>
      </c>
      <c r="D12" s="11"/>
      <c r="E12" s="142" t="s">
        <v>6</v>
      </c>
      <c r="F12" s="143"/>
      <c r="G12" s="15">
        <f>+G11*G9</f>
        <v>21000000</v>
      </c>
    </row>
    <row r="13" spans="1:12" ht="25.15" customHeight="1" x14ac:dyDescent="0.25">
      <c r="A13" s="5"/>
      <c r="B13" s="9" t="s">
        <v>7</v>
      </c>
      <c r="C13" s="12" t="s">
        <v>150</v>
      </c>
      <c r="D13" s="11"/>
      <c r="E13" s="160" t="s">
        <v>8</v>
      </c>
      <c r="F13" s="161"/>
      <c r="G13" s="30" t="s">
        <v>66</v>
      </c>
    </row>
    <row r="14" spans="1:12" ht="13.5" customHeight="1" x14ac:dyDescent="0.25">
      <c r="A14" s="5"/>
      <c r="B14" s="9" t="s">
        <v>9</v>
      </c>
      <c r="C14" s="12" t="s">
        <v>62</v>
      </c>
      <c r="D14" s="11"/>
      <c r="E14" s="160" t="s">
        <v>10</v>
      </c>
      <c r="F14" s="161"/>
      <c r="G14" s="12" t="s">
        <v>64</v>
      </c>
    </row>
    <row r="15" spans="1:12" ht="25.5" customHeight="1" x14ac:dyDescent="0.25">
      <c r="A15" s="5"/>
      <c r="B15" s="9" t="s">
        <v>11</v>
      </c>
      <c r="C15" s="16">
        <v>44986</v>
      </c>
      <c r="D15" s="11"/>
      <c r="E15" s="162" t="s">
        <v>12</v>
      </c>
      <c r="F15" s="163"/>
      <c r="G15" s="14"/>
    </row>
    <row r="16" spans="1:12" ht="12" customHeight="1" x14ac:dyDescent="0.25">
      <c r="A16" s="2"/>
      <c r="B16" s="17"/>
      <c r="C16" s="18"/>
      <c r="D16" s="19"/>
      <c r="E16" s="20"/>
      <c r="F16" s="20"/>
      <c r="G16" s="21"/>
      <c r="L16" s="147"/>
    </row>
    <row r="17" spans="1:12" ht="12" customHeight="1" x14ac:dyDescent="0.25">
      <c r="A17" s="22"/>
      <c r="B17" s="154" t="s">
        <v>98</v>
      </c>
      <c r="C17" s="155"/>
      <c r="D17" s="155"/>
      <c r="E17" s="155"/>
      <c r="F17" s="155"/>
      <c r="G17" s="155"/>
    </row>
    <row r="18" spans="1:12" ht="12" customHeight="1" x14ac:dyDescent="0.25">
      <c r="A18" s="2"/>
      <c r="B18" s="23"/>
      <c r="C18" s="24"/>
      <c r="D18" s="24"/>
      <c r="E18" s="24"/>
      <c r="F18" s="25"/>
      <c r="G18" s="25"/>
      <c r="L18" s="147"/>
    </row>
    <row r="19" spans="1:12" ht="12" customHeight="1" x14ac:dyDescent="0.25">
      <c r="A19" s="5"/>
      <c r="B19" s="26" t="s">
        <v>13</v>
      </c>
      <c r="C19" s="27"/>
      <c r="D19" s="28"/>
      <c r="E19" s="28"/>
      <c r="F19" s="28"/>
      <c r="G19" s="28"/>
    </row>
    <row r="20" spans="1:12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12" ht="12.75" customHeight="1" x14ac:dyDescent="0.25">
      <c r="A21" s="22"/>
      <c r="B21" s="141" t="s">
        <v>67</v>
      </c>
      <c r="C21" s="30" t="s">
        <v>20</v>
      </c>
      <c r="D21" s="31">
        <v>5</v>
      </c>
      <c r="E21" s="141" t="s">
        <v>103</v>
      </c>
      <c r="F21" s="15">
        <v>35000</v>
      </c>
      <c r="G21" s="15">
        <f>+F21*D21</f>
        <v>175000</v>
      </c>
    </row>
    <row r="22" spans="1:12" ht="12.75" customHeight="1" x14ac:dyDescent="0.25">
      <c r="A22" s="22"/>
      <c r="B22" s="141" t="s">
        <v>100</v>
      </c>
      <c r="C22" s="30" t="s">
        <v>20</v>
      </c>
      <c r="D22" s="31">
        <v>2</v>
      </c>
      <c r="E22" s="141" t="s">
        <v>104</v>
      </c>
      <c r="F22" s="15">
        <v>40000</v>
      </c>
      <c r="G22" s="15">
        <f>+F22*D22</f>
        <v>80000</v>
      </c>
    </row>
    <row r="23" spans="1:12" ht="12.75" customHeight="1" x14ac:dyDescent="0.25">
      <c r="A23" s="22"/>
      <c r="B23" s="141" t="s">
        <v>70</v>
      </c>
      <c r="C23" s="30" t="s">
        <v>20</v>
      </c>
      <c r="D23" s="31">
        <v>2</v>
      </c>
      <c r="E23" s="141" t="s">
        <v>105</v>
      </c>
      <c r="F23" s="15">
        <v>25000</v>
      </c>
      <c r="G23" s="15">
        <f>+F23*D23</f>
        <v>50000</v>
      </c>
    </row>
    <row r="24" spans="1:12" ht="12.75" customHeight="1" x14ac:dyDescent="0.25">
      <c r="A24" s="22"/>
      <c r="B24" s="141" t="s">
        <v>68</v>
      </c>
      <c r="C24" s="30" t="s">
        <v>20</v>
      </c>
      <c r="D24" s="31">
        <v>25</v>
      </c>
      <c r="E24" s="141" t="s">
        <v>106</v>
      </c>
      <c r="F24" s="15">
        <f t="shared" ref="F24:F28" si="0">+F23</f>
        <v>25000</v>
      </c>
      <c r="G24" s="15">
        <f t="shared" ref="G24:G29" si="1">+F24*D24</f>
        <v>625000</v>
      </c>
    </row>
    <row r="25" spans="1:12" ht="12.75" customHeight="1" x14ac:dyDescent="0.25">
      <c r="A25" s="22"/>
      <c r="B25" s="141" t="s">
        <v>101</v>
      </c>
      <c r="C25" s="30" t="s">
        <v>20</v>
      </c>
      <c r="D25" s="31">
        <v>60</v>
      </c>
      <c r="E25" s="141" t="s">
        <v>106</v>
      </c>
      <c r="F25" s="15">
        <f t="shared" si="0"/>
        <v>25000</v>
      </c>
      <c r="G25" s="15">
        <f t="shared" si="1"/>
        <v>1500000</v>
      </c>
    </row>
    <row r="26" spans="1:12" ht="12.75" customHeight="1" x14ac:dyDescent="0.25">
      <c r="A26" s="22"/>
      <c r="B26" s="141" t="s">
        <v>102</v>
      </c>
      <c r="C26" s="30" t="s">
        <v>20</v>
      </c>
      <c r="D26" s="31">
        <v>20</v>
      </c>
      <c r="E26" s="141" t="s">
        <v>106</v>
      </c>
      <c r="F26" s="15">
        <f t="shared" si="0"/>
        <v>25000</v>
      </c>
      <c r="G26" s="15">
        <f t="shared" si="1"/>
        <v>500000</v>
      </c>
    </row>
    <row r="27" spans="1:12" ht="12.75" customHeight="1" x14ac:dyDescent="0.25">
      <c r="A27" s="22"/>
      <c r="B27" s="141" t="s">
        <v>69</v>
      </c>
      <c r="C27" s="30" t="s">
        <v>20</v>
      </c>
      <c r="D27" s="31">
        <f>4000*5*4/1600</f>
        <v>50</v>
      </c>
      <c r="E27" s="141" t="s">
        <v>106</v>
      </c>
      <c r="F27" s="15">
        <f t="shared" si="0"/>
        <v>25000</v>
      </c>
      <c r="G27" s="15">
        <f t="shared" si="1"/>
        <v>1250000</v>
      </c>
    </row>
    <row r="28" spans="1:12" ht="12.75" customHeight="1" x14ac:dyDescent="0.25">
      <c r="A28" s="22"/>
      <c r="B28" s="133" t="s">
        <v>83</v>
      </c>
      <c r="C28" s="30" t="s">
        <v>20</v>
      </c>
      <c r="D28" s="31">
        <v>50</v>
      </c>
      <c r="E28" s="141" t="s">
        <v>106</v>
      </c>
      <c r="F28" s="15">
        <f t="shared" si="0"/>
        <v>25000</v>
      </c>
      <c r="G28" s="15">
        <f t="shared" si="1"/>
        <v>1250000</v>
      </c>
    </row>
    <row r="29" spans="1:12" ht="12.75" customHeight="1" x14ac:dyDescent="0.25">
      <c r="A29" s="22"/>
      <c r="B29" s="133" t="s">
        <v>125</v>
      </c>
      <c r="C29" s="30" t="s">
        <v>20</v>
      </c>
      <c r="D29" s="146">
        <f>(60000/35000)*(5*50%)</f>
        <v>4.2857142857142856</v>
      </c>
      <c r="E29" s="141" t="s">
        <v>129</v>
      </c>
      <c r="F29" s="15">
        <v>35000</v>
      </c>
      <c r="G29" s="15">
        <f t="shared" si="1"/>
        <v>150000</v>
      </c>
    </row>
    <row r="30" spans="1:12" ht="12.75" customHeight="1" x14ac:dyDescent="0.25">
      <c r="A30" s="22"/>
      <c r="B30" s="133" t="s">
        <v>126</v>
      </c>
      <c r="C30" s="30" t="s">
        <v>20</v>
      </c>
      <c r="D30" s="146">
        <f>+(15000/35000)*(5*0.3)</f>
        <v>0.64285714285714279</v>
      </c>
      <c r="E30" s="144" t="s">
        <v>129</v>
      </c>
      <c r="F30" s="15">
        <v>35000</v>
      </c>
      <c r="G30" s="15">
        <f t="shared" ref="G30:G33" si="2">+F30*D30</f>
        <v>22499.999999999996</v>
      </c>
    </row>
    <row r="31" spans="1:12" ht="12.75" customHeight="1" x14ac:dyDescent="0.25">
      <c r="A31" s="22"/>
      <c r="B31" s="133" t="s">
        <v>127</v>
      </c>
      <c r="C31" s="30" t="s">
        <v>20</v>
      </c>
      <c r="D31" s="146">
        <f>(15000/35000)*(5*50%)</f>
        <v>1.0714285714285714</v>
      </c>
      <c r="E31" s="144" t="s">
        <v>129</v>
      </c>
      <c r="F31" s="15">
        <v>35000</v>
      </c>
      <c r="G31" s="15">
        <f t="shared" si="2"/>
        <v>37500</v>
      </c>
    </row>
    <row r="32" spans="1:12" ht="12.75" customHeight="1" x14ac:dyDescent="0.25">
      <c r="A32" s="22"/>
      <c r="B32" s="133" t="s">
        <v>128</v>
      </c>
      <c r="C32" s="30" t="s">
        <v>20</v>
      </c>
      <c r="D32" s="146">
        <f t="shared" ref="D32:D33" si="3">(60000/35000)*(5*50%)</f>
        <v>4.2857142857142856</v>
      </c>
      <c r="E32" s="144" t="s">
        <v>103</v>
      </c>
      <c r="F32" s="15">
        <v>35000</v>
      </c>
      <c r="G32" s="15">
        <f t="shared" si="2"/>
        <v>150000</v>
      </c>
    </row>
    <row r="33" spans="1:11" ht="12.75" customHeight="1" x14ac:dyDescent="0.25">
      <c r="A33" s="22"/>
      <c r="B33" s="133" t="s">
        <v>149</v>
      </c>
      <c r="C33" s="30" t="s">
        <v>20</v>
      </c>
      <c r="D33" s="146">
        <f t="shared" si="3"/>
        <v>4.2857142857142856</v>
      </c>
      <c r="E33" s="141" t="s">
        <v>129</v>
      </c>
      <c r="F33" s="15">
        <v>35000</v>
      </c>
      <c r="G33" s="15">
        <f t="shared" si="2"/>
        <v>150000</v>
      </c>
    </row>
    <row r="34" spans="1:11" ht="12.75" customHeight="1" x14ac:dyDescent="0.25">
      <c r="A34" s="22"/>
      <c r="B34" s="32" t="s">
        <v>21</v>
      </c>
      <c r="C34" s="33"/>
      <c r="D34" s="33"/>
      <c r="E34" s="33"/>
      <c r="F34" s="34"/>
      <c r="G34" s="35">
        <f>SUM(G21:G33)</f>
        <v>5940000</v>
      </c>
      <c r="H34" s="139"/>
    </row>
    <row r="35" spans="1:11" ht="12" customHeight="1" x14ac:dyDescent="0.25">
      <c r="A35" s="2"/>
      <c r="B35" s="23"/>
      <c r="C35" s="25"/>
      <c r="D35" s="25"/>
      <c r="E35" s="25"/>
      <c r="F35" s="36"/>
      <c r="G35" s="36"/>
    </row>
    <row r="36" spans="1:11" ht="12" customHeight="1" x14ac:dyDescent="0.25">
      <c r="A36" s="5"/>
      <c r="B36" s="37" t="s">
        <v>22</v>
      </c>
      <c r="C36" s="38"/>
      <c r="D36" s="39"/>
      <c r="E36" s="39"/>
      <c r="F36" s="40"/>
      <c r="G36" s="40"/>
    </row>
    <row r="37" spans="1:11" ht="24" customHeight="1" x14ac:dyDescent="0.25">
      <c r="A37" s="5"/>
      <c r="B37" s="41" t="s">
        <v>14</v>
      </c>
      <c r="C37" s="42" t="s">
        <v>15</v>
      </c>
      <c r="D37" s="42" t="s">
        <v>16</v>
      </c>
      <c r="E37" s="41" t="s">
        <v>17</v>
      </c>
      <c r="F37" s="42" t="s">
        <v>18</v>
      </c>
      <c r="G37" s="41" t="s">
        <v>19</v>
      </c>
    </row>
    <row r="38" spans="1:11" ht="12" customHeight="1" x14ac:dyDescent="0.25">
      <c r="A38" s="5"/>
      <c r="B38" s="43"/>
      <c r="C38" s="44"/>
      <c r="D38" s="44"/>
      <c r="E38" s="44"/>
      <c r="F38" s="43"/>
      <c r="G38" s="43"/>
    </row>
    <row r="39" spans="1:11" ht="12" customHeight="1" x14ac:dyDescent="0.25">
      <c r="A39" s="5"/>
      <c r="B39" s="45" t="s">
        <v>23</v>
      </c>
      <c r="C39" s="46"/>
      <c r="D39" s="46"/>
      <c r="E39" s="46"/>
      <c r="F39" s="47"/>
      <c r="G39" s="47"/>
    </row>
    <row r="40" spans="1:11" ht="12" customHeight="1" x14ac:dyDescent="0.25">
      <c r="A40" s="2"/>
      <c r="B40" s="48"/>
      <c r="C40" s="49"/>
      <c r="D40" s="49"/>
      <c r="E40" s="49"/>
      <c r="F40" s="50"/>
      <c r="G40" s="50"/>
    </row>
    <row r="41" spans="1:11" ht="12" customHeight="1" x14ac:dyDescent="0.25">
      <c r="A41" s="5"/>
      <c r="B41" s="37" t="s">
        <v>24</v>
      </c>
      <c r="C41" s="38"/>
      <c r="D41" s="39"/>
      <c r="E41" s="39"/>
      <c r="F41" s="40"/>
      <c r="G41" s="40"/>
    </row>
    <row r="42" spans="1:11" ht="24" customHeight="1" x14ac:dyDescent="0.25">
      <c r="A42" s="5"/>
      <c r="B42" s="51" t="s">
        <v>14</v>
      </c>
      <c r="C42" s="51" t="s">
        <v>15</v>
      </c>
      <c r="D42" s="51" t="s">
        <v>16</v>
      </c>
      <c r="E42" s="51" t="s">
        <v>17</v>
      </c>
      <c r="F42" s="52" t="s">
        <v>18</v>
      </c>
      <c r="G42" s="51" t="s">
        <v>19</v>
      </c>
    </row>
    <row r="43" spans="1:11" ht="12.75" customHeight="1" x14ac:dyDescent="0.25">
      <c r="A43" s="22"/>
      <c r="B43" s="141" t="s">
        <v>71</v>
      </c>
      <c r="C43" s="30" t="s">
        <v>124</v>
      </c>
      <c r="D43" s="31">
        <v>1.43</v>
      </c>
      <c r="E43" s="14" t="s">
        <v>107</v>
      </c>
      <c r="F43" s="15">
        <v>180000</v>
      </c>
      <c r="G43" s="15">
        <f>+F43*D43</f>
        <v>257400</v>
      </c>
    </row>
    <row r="44" spans="1:11" ht="12.75" customHeight="1" x14ac:dyDescent="0.25">
      <c r="A44" s="22"/>
      <c r="B44" s="141"/>
      <c r="C44" s="30"/>
      <c r="D44" s="31"/>
      <c r="E44" s="14"/>
      <c r="F44" s="15"/>
      <c r="G44" s="15"/>
    </row>
    <row r="45" spans="1:11" ht="12.75" customHeight="1" x14ac:dyDescent="0.25">
      <c r="A45" s="5"/>
      <c r="B45" s="53" t="s">
        <v>25</v>
      </c>
      <c r="C45" s="54"/>
      <c r="D45" s="54"/>
      <c r="E45" s="54"/>
      <c r="F45" s="55"/>
      <c r="G45" s="56">
        <f>SUM(G43:G44)</f>
        <v>257400</v>
      </c>
    </row>
    <row r="46" spans="1:11" ht="12" customHeight="1" x14ac:dyDescent="0.25">
      <c r="A46" s="2"/>
      <c r="B46" s="48"/>
      <c r="C46" s="49"/>
      <c r="D46" s="49"/>
      <c r="E46" s="49"/>
      <c r="F46" s="50"/>
      <c r="G46" s="50"/>
    </row>
    <row r="47" spans="1:11" ht="12" customHeight="1" x14ac:dyDescent="0.25">
      <c r="A47" s="5"/>
      <c r="B47" s="37" t="s">
        <v>26</v>
      </c>
      <c r="C47" s="38"/>
      <c r="D47" s="39"/>
      <c r="E47" s="39"/>
      <c r="F47" s="40"/>
      <c r="G47" s="40"/>
    </row>
    <row r="48" spans="1:11" ht="24" customHeight="1" x14ac:dyDescent="0.25">
      <c r="A48" s="5"/>
      <c r="B48" s="52" t="s">
        <v>27</v>
      </c>
      <c r="C48" s="52" t="s">
        <v>28</v>
      </c>
      <c r="D48" s="52" t="s">
        <v>29</v>
      </c>
      <c r="E48" s="52" t="s">
        <v>17</v>
      </c>
      <c r="F48" s="52" t="s">
        <v>18</v>
      </c>
      <c r="G48" s="52" t="s">
        <v>19</v>
      </c>
      <c r="K48" s="130"/>
    </row>
    <row r="49" spans="1:9" ht="12.75" customHeight="1" x14ac:dyDescent="0.25">
      <c r="A49" s="22"/>
      <c r="B49" s="142" t="s">
        <v>148</v>
      </c>
      <c r="C49" s="61" t="s">
        <v>73</v>
      </c>
      <c r="D49" s="143">
        <f>4000*5*0.5</f>
        <v>10000</v>
      </c>
      <c r="E49" s="61" t="s">
        <v>108</v>
      </c>
      <c r="F49" s="59">
        <v>125</v>
      </c>
      <c r="G49" s="59">
        <f>+F49*D49</f>
        <v>1250000</v>
      </c>
    </row>
    <row r="50" spans="1:9" ht="12.75" customHeight="1" x14ac:dyDescent="0.25">
      <c r="A50" s="22"/>
      <c r="B50" s="60" t="s">
        <v>30</v>
      </c>
      <c r="C50" s="61"/>
      <c r="D50" s="143"/>
      <c r="E50" s="61"/>
      <c r="F50" s="59"/>
      <c r="G50" s="59"/>
    </row>
    <row r="51" spans="1:9" ht="12.75" customHeight="1" x14ac:dyDescent="0.25">
      <c r="A51" s="22"/>
      <c r="B51" s="142" t="s">
        <v>74</v>
      </c>
      <c r="C51" s="61" t="s">
        <v>31</v>
      </c>
      <c r="D51" s="143">
        <v>40</v>
      </c>
      <c r="E51" s="61" t="s">
        <v>72</v>
      </c>
      <c r="F51" s="59">
        <f>36975*1.19/25</f>
        <v>1760.01</v>
      </c>
      <c r="G51" s="59">
        <f>+F51*D51</f>
        <v>70400.399999999994</v>
      </c>
    </row>
    <row r="52" spans="1:9" ht="12.75" customHeight="1" x14ac:dyDescent="0.25">
      <c r="A52" s="22"/>
      <c r="B52" s="142" t="s">
        <v>130</v>
      </c>
      <c r="C52" s="61" t="s">
        <v>31</v>
      </c>
      <c r="D52" s="143">
        <v>12</v>
      </c>
      <c r="E52" s="61" t="s">
        <v>72</v>
      </c>
      <c r="F52" s="59">
        <f>26890*1.19/25</f>
        <v>1279.9639999999999</v>
      </c>
      <c r="G52" s="59">
        <f>+F52*D52</f>
        <v>15359.567999999999</v>
      </c>
    </row>
    <row r="53" spans="1:9" ht="12.75" customHeight="1" x14ac:dyDescent="0.25">
      <c r="A53" s="22"/>
      <c r="B53" s="142" t="s">
        <v>75</v>
      </c>
      <c r="C53" s="57" t="s">
        <v>31</v>
      </c>
      <c r="D53" s="58">
        <v>12</v>
      </c>
      <c r="E53" s="57" t="s">
        <v>72</v>
      </c>
      <c r="F53" s="59">
        <f>19159.663*1.19/25</f>
        <v>911.99995880000006</v>
      </c>
      <c r="G53" s="59">
        <f>(D53*F53)</f>
        <v>10943.999505600001</v>
      </c>
    </row>
    <row r="54" spans="1:9" ht="12.75" customHeight="1" x14ac:dyDescent="0.25">
      <c r="A54" s="22"/>
      <c r="B54" s="150" t="s">
        <v>76</v>
      </c>
      <c r="C54" s="151" t="s">
        <v>32</v>
      </c>
      <c r="D54" s="152">
        <v>25</v>
      </c>
      <c r="E54" s="151" t="s">
        <v>72</v>
      </c>
      <c r="F54" s="153">
        <v>3200</v>
      </c>
      <c r="G54" s="153">
        <f>(D54*F54)</f>
        <v>80000</v>
      </c>
      <c r="H54" s="148"/>
    </row>
    <row r="55" spans="1:9" ht="12.75" customHeight="1" x14ac:dyDescent="0.25">
      <c r="A55" s="22"/>
      <c r="B55" s="142" t="s">
        <v>77</v>
      </c>
      <c r="C55" s="57" t="s">
        <v>31</v>
      </c>
      <c r="D55" s="58">
        <v>50</v>
      </c>
      <c r="E55" s="57" t="s">
        <v>72</v>
      </c>
      <c r="F55" s="59">
        <f>29412*1.19/25</f>
        <v>1400.0111999999999</v>
      </c>
      <c r="G55" s="59">
        <f>+F55*D55</f>
        <v>70000.56</v>
      </c>
    </row>
    <row r="56" spans="1:9" ht="12.75" customHeight="1" x14ac:dyDescent="0.25">
      <c r="A56" s="22"/>
      <c r="B56" s="142" t="s">
        <v>118</v>
      </c>
      <c r="C56" s="57" t="s">
        <v>119</v>
      </c>
      <c r="D56" s="58">
        <v>1</v>
      </c>
      <c r="E56" s="57" t="s">
        <v>72</v>
      </c>
      <c r="F56" s="59">
        <f>43529*1.19/2</f>
        <v>25899.754999999997</v>
      </c>
      <c r="G56" s="59">
        <f>+F56*D56</f>
        <v>25899.754999999997</v>
      </c>
    </row>
    <row r="57" spans="1:9" ht="12.75" customHeight="1" x14ac:dyDescent="0.25">
      <c r="A57" s="22"/>
      <c r="B57" s="142" t="s">
        <v>131</v>
      </c>
      <c r="C57" s="57" t="s">
        <v>121</v>
      </c>
      <c r="D57" s="58">
        <v>2</v>
      </c>
      <c r="E57" s="57" t="s">
        <v>72</v>
      </c>
      <c r="F57" s="59">
        <f>52521*1.19/25</f>
        <v>2499.9996000000001</v>
      </c>
      <c r="G57" s="59">
        <f>+F57*D57</f>
        <v>4999.9992000000002</v>
      </c>
      <c r="I57" s="149"/>
    </row>
    <row r="58" spans="1:9" ht="12.75" customHeight="1" x14ac:dyDescent="0.25">
      <c r="A58" s="22"/>
      <c r="B58" s="142" t="s">
        <v>132</v>
      </c>
      <c r="C58" s="57" t="s">
        <v>134</v>
      </c>
      <c r="D58" s="58">
        <v>10</v>
      </c>
      <c r="E58" s="57" t="s">
        <v>72</v>
      </c>
      <c r="F58" s="59">
        <f>9917*1.19</f>
        <v>11801.23</v>
      </c>
      <c r="G58" s="59">
        <f>+F58*D58</f>
        <v>118012.29999999999</v>
      </c>
    </row>
    <row r="59" spans="1:9" ht="12.75" customHeight="1" x14ac:dyDescent="0.25">
      <c r="A59" s="22"/>
      <c r="B59" s="142" t="s">
        <v>133</v>
      </c>
      <c r="C59" s="57" t="s">
        <v>31</v>
      </c>
      <c r="D59" s="58">
        <v>120</v>
      </c>
      <c r="E59" s="57" t="s">
        <v>72</v>
      </c>
      <c r="F59" s="59">
        <f>37983*1.19/35</f>
        <v>1291.4219999999998</v>
      </c>
      <c r="G59" s="59">
        <f>+F59*D59</f>
        <v>154970.63999999998</v>
      </c>
    </row>
    <row r="60" spans="1:9" ht="12.75" customHeight="1" x14ac:dyDescent="0.25">
      <c r="A60" s="22"/>
      <c r="B60" s="60" t="s">
        <v>33</v>
      </c>
      <c r="C60" s="61"/>
      <c r="D60" s="143"/>
      <c r="E60" s="61"/>
      <c r="F60" s="59"/>
      <c r="G60" s="59"/>
    </row>
    <row r="61" spans="1:9" ht="12.75" customHeight="1" x14ac:dyDescent="0.25">
      <c r="A61" s="22"/>
      <c r="B61" s="142" t="s">
        <v>78</v>
      </c>
      <c r="C61" s="57" t="s">
        <v>79</v>
      </c>
      <c r="D61" s="58">
        <v>1</v>
      </c>
      <c r="E61" s="57" t="s">
        <v>72</v>
      </c>
      <c r="F61" s="59">
        <f>24538*1.19</f>
        <v>29200.219999999998</v>
      </c>
      <c r="G61" s="59">
        <f>+F61*D61</f>
        <v>29200.219999999998</v>
      </c>
    </row>
    <row r="62" spans="1:9" ht="12.75" customHeight="1" x14ac:dyDescent="0.25">
      <c r="A62" s="22"/>
      <c r="B62" s="142" t="s">
        <v>135</v>
      </c>
      <c r="C62" s="57" t="s">
        <v>80</v>
      </c>
      <c r="D62" s="58">
        <v>2</v>
      </c>
      <c r="E62" s="57" t="s">
        <v>72</v>
      </c>
      <c r="F62" s="59">
        <v>11765</v>
      </c>
      <c r="G62" s="59">
        <f>+F62*D62</f>
        <v>23530</v>
      </c>
    </row>
    <row r="63" spans="1:9" ht="12.75" customHeight="1" x14ac:dyDescent="0.25">
      <c r="A63" s="22"/>
      <c r="B63" s="60" t="s">
        <v>89</v>
      </c>
      <c r="C63" s="61"/>
      <c r="D63" s="143"/>
      <c r="E63" s="61"/>
      <c r="F63" s="59"/>
      <c r="G63" s="59"/>
    </row>
    <row r="64" spans="1:9" ht="12.75" customHeight="1" x14ac:dyDescent="0.25">
      <c r="A64" s="22"/>
      <c r="B64" s="142" t="s">
        <v>85</v>
      </c>
      <c r="C64" s="57" t="s">
        <v>86</v>
      </c>
      <c r="D64" s="58">
        <v>0.5</v>
      </c>
      <c r="E64" s="57" t="s">
        <v>72</v>
      </c>
      <c r="F64" s="59">
        <v>81429</v>
      </c>
      <c r="G64" s="138">
        <f t="shared" ref="G64:G72" si="4">+F64*D64</f>
        <v>40714.5</v>
      </c>
    </row>
    <row r="65" spans="1:9" ht="12.75" customHeight="1" x14ac:dyDescent="0.25">
      <c r="A65" s="22"/>
      <c r="B65" s="142" t="s">
        <v>136</v>
      </c>
      <c r="C65" s="57" t="s">
        <v>109</v>
      </c>
      <c r="D65" s="58">
        <v>1</v>
      </c>
      <c r="E65" s="57" t="s">
        <v>72</v>
      </c>
      <c r="F65" s="59">
        <v>84034</v>
      </c>
      <c r="G65" s="138">
        <f t="shared" si="4"/>
        <v>84034</v>
      </c>
    </row>
    <row r="66" spans="1:9" ht="12.75" customHeight="1" x14ac:dyDescent="0.25">
      <c r="A66" s="22"/>
      <c r="B66" s="142" t="s">
        <v>81</v>
      </c>
      <c r="C66" s="57" t="s">
        <v>86</v>
      </c>
      <c r="D66" s="58">
        <v>1</v>
      </c>
      <c r="E66" s="57" t="s">
        <v>72</v>
      </c>
      <c r="F66" s="59">
        <f>22689*1.19</f>
        <v>26999.91</v>
      </c>
      <c r="G66" s="138">
        <f t="shared" si="4"/>
        <v>26999.91</v>
      </c>
    </row>
    <row r="67" spans="1:9" ht="12.75" customHeight="1" x14ac:dyDescent="0.25">
      <c r="A67" s="22"/>
      <c r="B67" s="142" t="s">
        <v>87</v>
      </c>
      <c r="C67" s="57" t="s">
        <v>88</v>
      </c>
      <c r="D67" s="58">
        <v>1</v>
      </c>
      <c r="E67" s="57" t="s">
        <v>72</v>
      </c>
      <c r="F67" s="59">
        <f>35294*1.19</f>
        <v>41999.86</v>
      </c>
      <c r="G67" s="138">
        <f t="shared" si="4"/>
        <v>41999.86</v>
      </c>
    </row>
    <row r="68" spans="1:9" ht="12.75" customHeight="1" x14ac:dyDescent="0.25">
      <c r="A68" s="22"/>
      <c r="B68" s="142" t="s">
        <v>90</v>
      </c>
      <c r="C68" s="57" t="s">
        <v>91</v>
      </c>
      <c r="D68" s="58">
        <v>300</v>
      </c>
      <c r="E68" s="57" t="s">
        <v>72</v>
      </c>
      <c r="F68" s="59">
        <f>95200/1000</f>
        <v>95.2</v>
      </c>
      <c r="G68" s="138">
        <f t="shared" si="4"/>
        <v>28560</v>
      </c>
    </row>
    <row r="69" spans="1:9" ht="12.75" customHeight="1" x14ac:dyDescent="0.25">
      <c r="A69" s="22"/>
      <c r="B69" s="142" t="s">
        <v>92</v>
      </c>
      <c r="C69" s="57" t="s">
        <v>86</v>
      </c>
      <c r="D69" s="58">
        <v>1</v>
      </c>
      <c r="E69" s="57" t="s">
        <v>72</v>
      </c>
      <c r="F69" s="59">
        <v>43200</v>
      </c>
      <c r="G69" s="138">
        <f t="shared" si="4"/>
        <v>43200</v>
      </c>
    </row>
    <row r="70" spans="1:9" ht="12.75" customHeight="1" x14ac:dyDescent="0.25">
      <c r="A70" s="22"/>
      <c r="B70" s="142" t="s">
        <v>115</v>
      </c>
      <c r="C70" s="57" t="s">
        <v>86</v>
      </c>
      <c r="D70" s="58">
        <v>1</v>
      </c>
      <c r="E70" s="57" t="s">
        <v>72</v>
      </c>
      <c r="F70" s="59">
        <f>57815*1.19</f>
        <v>68799.849999999991</v>
      </c>
      <c r="G70" s="138">
        <f t="shared" si="4"/>
        <v>68799.849999999991</v>
      </c>
    </row>
    <row r="71" spans="1:9" ht="12.75" customHeight="1" x14ac:dyDescent="0.25">
      <c r="A71" s="22"/>
      <c r="B71" s="142" t="s">
        <v>123</v>
      </c>
      <c r="C71" s="57" t="s">
        <v>86</v>
      </c>
      <c r="D71" s="58">
        <v>1</v>
      </c>
      <c r="E71" s="57" t="s">
        <v>72</v>
      </c>
      <c r="F71" s="59">
        <f>380000*1.19/5</f>
        <v>90440</v>
      </c>
      <c r="G71" s="138">
        <f t="shared" si="4"/>
        <v>90440</v>
      </c>
    </row>
    <row r="72" spans="1:9" ht="12.75" customHeight="1" x14ac:dyDescent="0.25">
      <c r="A72" s="22"/>
      <c r="B72" s="142" t="s">
        <v>120</v>
      </c>
      <c r="C72" s="57" t="s">
        <v>86</v>
      </c>
      <c r="D72" s="58">
        <v>2</v>
      </c>
      <c r="E72" s="57" t="s">
        <v>72</v>
      </c>
      <c r="F72" s="59">
        <f>14454*1.19</f>
        <v>17200.259999999998</v>
      </c>
      <c r="G72" s="138">
        <f t="shared" si="4"/>
        <v>34400.519999999997</v>
      </c>
    </row>
    <row r="73" spans="1:9" ht="12.75" customHeight="1" x14ac:dyDescent="0.25">
      <c r="A73" s="22"/>
      <c r="B73" s="60" t="s">
        <v>35</v>
      </c>
      <c r="C73" s="57"/>
      <c r="D73" s="58"/>
      <c r="E73" s="57"/>
      <c r="F73" s="59"/>
      <c r="G73" s="58"/>
    </row>
    <row r="74" spans="1:9" ht="12.75" customHeight="1" x14ac:dyDescent="0.25">
      <c r="A74" s="22"/>
      <c r="B74" s="142" t="s">
        <v>117</v>
      </c>
      <c r="C74" s="57" t="s">
        <v>86</v>
      </c>
      <c r="D74" s="58">
        <v>1</v>
      </c>
      <c r="E74" s="57" t="s">
        <v>72</v>
      </c>
      <c r="F74" s="59">
        <f>24790*1.19</f>
        <v>29500.1</v>
      </c>
      <c r="G74" s="138">
        <f t="shared" ref="G74:G88" si="5">+F74*D74</f>
        <v>29500.1</v>
      </c>
    </row>
    <row r="75" spans="1:9" ht="12.75" customHeight="1" x14ac:dyDescent="0.25">
      <c r="A75" s="22"/>
      <c r="B75" s="142" t="s">
        <v>116</v>
      </c>
      <c r="C75" s="57" t="s">
        <v>137</v>
      </c>
      <c r="D75" s="58">
        <v>1</v>
      </c>
      <c r="E75" s="57" t="s">
        <v>72</v>
      </c>
      <c r="F75" s="59">
        <f>47815*1.19</f>
        <v>56899.85</v>
      </c>
      <c r="G75" s="59">
        <f t="shared" si="5"/>
        <v>56899.85</v>
      </c>
    </row>
    <row r="76" spans="1:9" ht="12.75" customHeight="1" x14ac:dyDescent="0.25">
      <c r="A76" s="22"/>
      <c r="B76" s="142" t="s">
        <v>138</v>
      </c>
      <c r="C76" s="57" t="s">
        <v>139</v>
      </c>
      <c r="D76" s="58">
        <v>1</v>
      </c>
      <c r="E76" s="57" t="s">
        <v>72</v>
      </c>
      <c r="F76" s="59">
        <f>112605*1.19</f>
        <v>133999.94999999998</v>
      </c>
      <c r="G76" s="59">
        <f t="shared" si="5"/>
        <v>133999.94999999998</v>
      </c>
    </row>
    <row r="77" spans="1:9" ht="12.75" customHeight="1" x14ac:dyDescent="0.25">
      <c r="A77" s="22"/>
      <c r="B77" s="142" t="s">
        <v>110</v>
      </c>
      <c r="C77" s="57" t="s">
        <v>111</v>
      </c>
      <c r="D77" s="58">
        <v>500</v>
      </c>
      <c r="E77" s="57" t="s">
        <v>72</v>
      </c>
      <c r="F77" s="59">
        <f>5000*5*0.015</f>
        <v>375</v>
      </c>
      <c r="G77" s="59">
        <f t="shared" si="5"/>
        <v>187500</v>
      </c>
    </row>
    <row r="78" spans="1:9" ht="12.75" customHeight="1" x14ac:dyDescent="0.25">
      <c r="A78" s="22"/>
      <c r="B78" s="142" t="s">
        <v>140</v>
      </c>
      <c r="C78" s="57" t="s">
        <v>97</v>
      </c>
      <c r="D78" s="58">
        <v>1</v>
      </c>
      <c r="E78" s="57" t="s">
        <v>72</v>
      </c>
      <c r="F78" s="59">
        <v>190749</v>
      </c>
      <c r="G78" s="59">
        <f t="shared" si="5"/>
        <v>190749</v>
      </c>
    </row>
    <row r="79" spans="1:9" ht="12.75" customHeight="1" x14ac:dyDescent="0.25">
      <c r="A79" s="22"/>
      <c r="B79" s="145" t="s">
        <v>142</v>
      </c>
      <c r="C79" s="57" t="s">
        <v>141</v>
      </c>
      <c r="D79" s="58">
        <f>+(((30*4.2)+(30*4))*5)*0.5</f>
        <v>615</v>
      </c>
      <c r="E79" s="57" t="s">
        <v>129</v>
      </c>
      <c r="F79" s="59">
        <v>490</v>
      </c>
      <c r="G79" s="59">
        <f>+F79*D79</f>
        <v>301350</v>
      </c>
    </row>
    <row r="80" spans="1:9" ht="12.75" customHeight="1" x14ac:dyDescent="0.25">
      <c r="A80" s="22"/>
      <c r="B80" s="145" t="s">
        <v>143</v>
      </c>
      <c r="C80" s="57" t="s">
        <v>141</v>
      </c>
      <c r="D80" s="58">
        <v>156</v>
      </c>
      <c r="E80" s="57" t="s">
        <v>129</v>
      </c>
      <c r="F80" s="59">
        <v>490</v>
      </c>
      <c r="G80" s="59">
        <f>+F80*D80</f>
        <v>76440</v>
      </c>
      <c r="I80" s="149">
        <f>30*4*2</f>
        <v>240</v>
      </c>
    </row>
    <row r="81" spans="1:9" ht="12.75" customHeight="1" x14ac:dyDescent="0.25">
      <c r="A81" s="22"/>
      <c r="B81" s="145" t="s">
        <v>144</v>
      </c>
      <c r="C81" s="57" t="s">
        <v>141</v>
      </c>
      <c r="D81" s="58">
        <f>30*4*0.5</f>
        <v>60</v>
      </c>
      <c r="E81" s="57" t="s">
        <v>129</v>
      </c>
      <c r="F81" s="59">
        <v>1013</v>
      </c>
      <c r="G81" s="59">
        <f>+F81*D81</f>
        <v>60780</v>
      </c>
      <c r="I81" s="1">
        <f>35*4*2</f>
        <v>280</v>
      </c>
    </row>
    <row r="82" spans="1:9" ht="12.75" customHeight="1" x14ac:dyDescent="0.25">
      <c r="A82" s="22"/>
      <c r="B82" s="145"/>
      <c r="C82" s="57"/>
      <c r="D82" s="58"/>
      <c r="E82" s="57"/>
      <c r="F82" s="59"/>
      <c r="G82" s="59"/>
      <c r="I82" s="1">
        <f>SUM(I80:I81)</f>
        <v>520</v>
      </c>
    </row>
    <row r="83" spans="1:9" ht="12.75" customHeight="1" x14ac:dyDescent="0.25">
      <c r="A83" s="22"/>
      <c r="B83" s="145"/>
      <c r="C83" s="57"/>
      <c r="D83" s="58"/>
      <c r="E83" s="57"/>
      <c r="F83" s="59"/>
      <c r="G83" s="59"/>
    </row>
    <row r="84" spans="1:9" ht="12.75" customHeight="1" x14ac:dyDescent="0.25">
      <c r="A84" s="22"/>
      <c r="B84" s="142"/>
      <c r="C84" s="57"/>
      <c r="D84" s="58"/>
      <c r="E84" s="57"/>
      <c r="F84" s="59"/>
      <c r="G84" s="59"/>
    </row>
    <row r="85" spans="1:9" ht="12.75" customHeight="1" x14ac:dyDescent="0.25">
      <c r="A85" s="22"/>
      <c r="B85" s="142" t="s">
        <v>145</v>
      </c>
      <c r="C85" s="57" t="s">
        <v>97</v>
      </c>
      <c r="D85" s="58">
        <v>1</v>
      </c>
      <c r="E85" s="57" t="s">
        <v>84</v>
      </c>
      <c r="F85" s="59">
        <v>65000</v>
      </c>
      <c r="G85" s="59">
        <f t="shared" si="5"/>
        <v>65000</v>
      </c>
    </row>
    <row r="86" spans="1:9" ht="12.75" customHeight="1" x14ac:dyDescent="0.25">
      <c r="A86" s="22"/>
      <c r="B86" s="134" t="s">
        <v>147</v>
      </c>
      <c r="C86" s="135" t="s">
        <v>146</v>
      </c>
      <c r="D86" s="136">
        <f>30*2*5*5*0.5</f>
        <v>750</v>
      </c>
      <c r="E86" s="135" t="s">
        <v>84</v>
      </c>
      <c r="F86" s="59">
        <f>208250/4250</f>
        <v>49</v>
      </c>
      <c r="G86" s="131">
        <f t="shared" si="5"/>
        <v>36750</v>
      </c>
    </row>
    <row r="87" spans="1:9" ht="12.75" customHeight="1" x14ac:dyDescent="0.25">
      <c r="A87" s="22"/>
      <c r="B87" s="134" t="s">
        <v>113</v>
      </c>
      <c r="C87" s="135" t="s">
        <v>114</v>
      </c>
      <c r="D87" s="136">
        <v>1</v>
      </c>
      <c r="E87" s="135" t="s">
        <v>72</v>
      </c>
      <c r="F87" s="59">
        <v>65000</v>
      </c>
      <c r="G87" s="131">
        <f t="shared" si="5"/>
        <v>65000</v>
      </c>
    </row>
    <row r="88" spans="1:9" ht="12.75" customHeight="1" x14ac:dyDescent="0.25">
      <c r="A88" s="22"/>
      <c r="B88" s="62" t="s">
        <v>112</v>
      </c>
      <c r="C88" s="63" t="s">
        <v>96</v>
      </c>
      <c r="D88" s="64">
        <v>12</v>
      </c>
      <c r="E88" s="63" t="s">
        <v>72</v>
      </c>
      <c r="F88" s="59">
        <v>20000</v>
      </c>
      <c r="G88" s="65">
        <f t="shared" si="5"/>
        <v>240000</v>
      </c>
    </row>
    <row r="89" spans="1:9" ht="13.5" customHeight="1" x14ac:dyDescent="0.25">
      <c r="A89" s="5"/>
      <c r="B89" s="66" t="s">
        <v>34</v>
      </c>
      <c r="C89" s="67"/>
      <c r="D89" s="67"/>
      <c r="E89" s="67"/>
      <c r="F89" s="68"/>
      <c r="G89" s="69">
        <f>SUM(G49:G88)</f>
        <v>3756434.9817056004</v>
      </c>
    </row>
    <row r="90" spans="1:9" ht="12" customHeight="1" x14ac:dyDescent="0.25">
      <c r="A90" s="2"/>
      <c r="B90" s="48"/>
      <c r="C90" s="49"/>
      <c r="D90" s="49"/>
      <c r="E90" s="70"/>
      <c r="F90" s="50"/>
      <c r="G90" s="50"/>
    </row>
    <row r="91" spans="1:9" ht="12" customHeight="1" x14ac:dyDescent="0.25">
      <c r="A91" s="132" t="s">
        <v>82</v>
      </c>
      <c r="B91" s="48"/>
      <c r="C91" s="49"/>
      <c r="D91" s="49"/>
      <c r="E91" s="70"/>
      <c r="F91" s="50"/>
      <c r="G91" s="50"/>
    </row>
    <row r="92" spans="1:9" ht="12" customHeight="1" x14ac:dyDescent="0.25">
      <c r="A92" s="5"/>
      <c r="B92" s="37" t="s">
        <v>35</v>
      </c>
      <c r="C92" s="38"/>
      <c r="D92" s="39"/>
      <c r="E92" s="39"/>
      <c r="F92" s="40"/>
      <c r="G92" s="40"/>
    </row>
    <row r="93" spans="1:9" ht="24" customHeight="1" x14ac:dyDescent="0.25">
      <c r="A93" s="5"/>
      <c r="B93" s="51" t="s">
        <v>36</v>
      </c>
      <c r="C93" s="52" t="s">
        <v>28</v>
      </c>
      <c r="D93" s="52" t="s">
        <v>29</v>
      </c>
      <c r="E93" s="51" t="s">
        <v>17</v>
      </c>
      <c r="F93" s="52" t="s">
        <v>18</v>
      </c>
      <c r="G93" s="51" t="s">
        <v>19</v>
      </c>
    </row>
    <row r="94" spans="1:9" ht="12.75" customHeight="1" x14ac:dyDescent="0.25">
      <c r="A94" s="22"/>
      <c r="B94" s="141"/>
      <c r="C94" s="57"/>
      <c r="D94" s="59"/>
      <c r="E94" s="30"/>
      <c r="F94" s="71"/>
      <c r="G94" s="59"/>
    </row>
    <row r="95" spans="1:9" ht="12.75" customHeight="1" x14ac:dyDescent="0.25">
      <c r="A95" s="22"/>
      <c r="B95" s="141"/>
      <c r="C95" s="57"/>
      <c r="D95" s="59"/>
      <c r="E95" s="30"/>
      <c r="F95" s="71"/>
      <c r="G95" s="59"/>
    </row>
    <row r="96" spans="1:9" ht="12.75" customHeight="1" x14ac:dyDescent="0.25">
      <c r="A96" s="22"/>
      <c r="B96" s="141"/>
      <c r="C96" s="57"/>
      <c r="D96" s="59"/>
      <c r="E96" s="30"/>
      <c r="F96" s="71"/>
      <c r="G96" s="59"/>
    </row>
    <row r="97" spans="1:7" ht="13.5" customHeight="1" x14ac:dyDescent="0.25">
      <c r="A97" s="5"/>
      <c r="B97" s="72" t="s">
        <v>37</v>
      </c>
      <c r="C97" s="73"/>
      <c r="D97" s="73"/>
      <c r="E97" s="73"/>
      <c r="F97" s="74"/>
      <c r="G97" s="75">
        <f>SUM(G96)</f>
        <v>0</v>
      </c>
    </row>
    <row r="98" spans="1:7" ht="12" customHeight="1" x14ac:dyDescent="0.25">
      <c r="A98" s="2"/>
      <c r="B98" s="92"/>
      <c r="C98" s="92"/>
      <c r="D98" s="92"/>
      <c r="E98" s="92"/>
      <c r="F98" s="93"/>
      <c r="G98" s="93"/>
    </row>
    <row r="99" spans="1:7" ht="12" customHeight="1" x14ac:dyDescent="0.25">
      <c r="A99" s="89"/>
      <c r="B99" s="94" t="s">
        <v>38</v>
      </c>
      <c r="C99" s="95"/>
      <c r="D99" s="95"/>
      <c r="E99" s="95"/>
      <c r="F99" s="95"/>
      <c r="G99" s="96">
        <f>G34+G45+G89+G97</f>
        <v>9953834.9817056004</v>
      </c>
    </row>
    <row r="100" spans="1:7" ht="12" customHeight="1" x14ac:dyDescent="0.25">
      <c r="A100" s="89"/>
      <c r="B100" s="97" t="s">
        <v>39</v>
      </c>
      <c r="C100" s="77"/>
      <c r="D100" s="77"/>
      <c r="E100" s="77"/>
      <c r="F100" s="77"/>
      <c r="G100" s="98">
        <f>G99*0.05</f>
        <v>497691.74908528005</v>
      </c>
    </row>
    <row r="101" spans="1:7" ht="12" customHeight="1" x14ac:dyDescent="0.25">
      <c r="A101" s="89"/>
      <c r="B101" s="99" t="s">
        <v>40</v>
      </c>
      <c r="C101" s="76"/>
      <c r="D101" s="76"/>
      <c r="E101" s="76"/>
      <c r="F101" s="76"/>
      <c r="G101" s="100">
        <f>G100+G99</f>
        <v>10451526.73079088</v>
      </c>
    </row>
    <row r="102" spans="1:7" ht="12" customHeight="1" x14ac:dyDescent="0.25">
      <c r="A102" s="89"/>
      <c r="B102" s="97" t="s">
        <v>41</v>
      </c>
      <c r="C102" s="77"/>
      <c r="D102" s="77"/>
      <c r="E102" s="77"/>
      <c r="F102" s="77"/>
      <c r="G102" s="98">
        <f>G12</f>
        <v>21000000</v>
      </c>
    </row>
    <row r="103" spans="1:7" ht="12" customHeight="1" x14ac:dyDescent="0.25">
      <c r="A103" s="89"/>
      <c r="B103" s="101" t="s">
        <v>42</v>
      </c>
      <c r="C103" s="102"/>
      <c r="D103" s="102"/>
      <c r="E103" s="102"/>
      <c r="F103" s="102"/>
      <c r="G103" s="103">
        <f>G102-G101</f>
        <v>10548473.26920912</v>
      </c>
    </row>
    <row r="104" spans="1:7" ht="12" customHeight="1" x14ac:dyDescent="0.25">
      <c r="A104" s="89"/>
      <c r="B104" s="90" t="s">
        <v>43</v>
      </c>
      <c r="C104" s="91"/>
      <c r="D104" s="91"/>
      <c r="E104" s="91"/>
      <c r="F104" s="91"/>
      <c r="G104" s="86">
        <f ca="1">+G103:G104/12</f>
        <v>0</v>
      </c>
    </row>
    <row r="105" spans="1:7" ht="12.75" customHeight="1" thickBot="1" x14ac:dyDescent="0.3">
      <c r="A105" s="89"/>
      <c r="B105" s="104"/>
      <c r="C105" s="91"/>
      <c r="D105" s="91"/>
      <c r="E105" s="91"/>
      <c r="F105" s="91"/>
      <c r="G105" s="86"/>
    </row>
    <row r="106" spans="1:7" ht="12" customHeight="1" x14ac:dyDescent="0.25">
      <c r="A106" s="89"/>
      <c r="B106" s="116" t="s">
        <v>44</v>
      </c>
      <c r="C106" s="117"/>
      <c r="D106" s="117"/>
      <c r="E106" s="117"/>
      <c r="F106" s="118"/>
      <c r="G106" s="86"/>
    </row>
    <row r="107" spans="1:7" ht="12" customHeight="1" x14ac:dyDescent="0.25">
      <c r="A107" s="89"/>
      <c r="B107" s="119" t="s">
        <v>45</v>
      </c>
      <c r="C107" s="88"/>
      <c r="D107" s="88"/>
      <c r="E107" s="88"/>
      <c r="F107" s="120"/>
      <c r="G107" s="86"/>
    </row>
    <row r="108" spans="1:7" ht="12" customHeight="1" x14ac:dyDescent="0.25">
      <c r="A108" s="89"/>
      <c r="B108" s="119" t="s">
        <v>46</v>
      </c>
      <c r="C108" s="88"/>
      <c r="D108" s="88"/>
      <c r="E108" s="88"/>
      <c r="F108" s="120"/>
      <c r="G108" s="86"/>
    </row>
    <row r="109" spans="1:7" ht="12" customHeight="1" x14ac:dyDescent="0.25">
      <c r="A109" s="89"/>
      <c r="B109" s="119" t="s">
        <v>47</v>
      </c>
      <c r="C109" s="88"/>
      <c r="D109" s="88"/>
      <c r="E109" s="88"/>
      <c r="F109" s="120"/>
      <c r="G109" s="86"/>
    </row>
    <row r="110" spans="1:7" ht="12" customHeight="1" x14ac:dyDescent="0.25">
      <c r="A110" s="89"/>
      <c r="B110" s="119" t="s">
        <v>48</v>
      </c>
      <c r="C110" s="88"/>
      <c r="D110" s="88"/>
      <c r="E110" s="88"/>
      <c r="F110" s="120"/>
      <c r="G110" s="86"/>
    </row>
    <row r="111" spans="1:7" ht="12" customHeight="1" x14ac:dyDescent="0.25">
      <c r="A111" s="89"/>
      <c r="B111" s="119" t="s">
        <v>49</v>
      </c>
      <c r="C111" s="88"/>
      <c r="D111" s="88"/>
      <c r="E111" s="88"/>
      <c r="F111" s="120"/>
      <c r="G111" s="86"/>
    </row>
    <row r="112" spans="1:7" ht="12.75" customHeight="1" thickBot="1" x14ac:dyDescent="0.3">
      <c r="A112" s="89"/>
      <c r="B112" s="121" t="s">
        <v>50</v>
      </c>
      <c r="C112" s="122"/>
      <c r="D112" s="122"/>
      <c r="E112" s="122"/>
      <c r="F112" s="123"/>
      <c r="G112" s="86"/>
    </row>
    <row r="113" spans="1:7" ht="12.75" customHeight="1" x14ac:dyDescent="0.25">
      <c r="A113" s="89"/>
      <c r="B113" s="114"/>
      <c r="C113" s="88"/>
      <c r="D113" s="88"/>
      <c r="E113" s="88"/>
      <c r="F113" s="88"/>
      <c r="G113" s="86"/>
    </row>
    <row r="114" spans="1:7" ht="15" customHeight="1" thickBot="1" x14ac:dyDescent="0.3">
      <c r="A114" s="89"/>
      <c r="B114" s="156" t="s">
        <v>51</v>
      </c>
      <c r="C114" s="157"/>
      <c r="D114" s="113"/>
      <c r="E114" s="79"/>
      <c r="F114" s="79"/>
      <c r="G114" s="86"/>
    </row>
    <row r="115" spans="1:7" ht="12" customHeight="1" x14ac:dyDescent="0.25">
      <c r="A115" s="89"/>
      <c r="B115" s="106" t="s">
        <v>36</v>
      </c>
      <c r="C115" s="80" t="s">
        <v>52</v>
      </c>
      <c r="D115" s="107" t="s">
        <v>53</v>
      </c>
      <c r="E115" s="79"/>
      <c r="F115" s="79"/>
      <c r="G115" s="86"/>
    </row>
    <row r="116" spans="1:7" ht="12" customHeight="1" x14ac:dyDescent="0.25">
      <c r="A116" s="89"/>
      <c r="B116" s="108" t="s">
        <v>54</v>
      </c>
      <c r="C116" s="81">
        <f>+G34</f>
        <v>5940000</v>
      </c>
      <c r="D116" s="109">
        <f>(C116/C122)</f>
        <v>0.56833801921975402</v>
      </c>
      <c r="E116" s="79"/>
      <c r="F116" s="79"/>
      <c r="G116" s="86"/>
    </row>
    <row r="117" spans="1:7" ht="12" customHeight="1" x14ac:dyDescent="0.25">
      <c r="A117" s="89"/>
      <c r="B117" s="108" t="s">
        <v>55</v>
      </c>
      <c r="C117" s="82">
        <f>+G39</f>
        <v>0</v>
      </c>
      <c r="D117" s="109">
        <v>0</v>
      </c>
      <c r="E117" s="79"/>
      <c r="F117" s="79"/>
      <c r="G117" s="86"/>
    </row>
    <row r="118" spans="1:7" ht="12" customHeight="1" x14ac:dyDescent="0.25">
      <c r="A118" s="89"/>
      <c r="B118" s="108" t="s">
        <v>56</v>
      </c>
      <c r="C118" s="81">
        <f>+G45</f>
        <v>257400</v>
      </c>
      <c r="D118" s="109">
        <f>(C118/C122)</f>
        <v>2.4627980832856007E-2</v>
      </c>
      <c r="E118" s="79"/>
      <c r="F118" s="79"/>
      <c r="G118" s="86"/>
    </row>
    <row r="119" spans="1:7" ht="12" customHeight="1" x14ac:dyDescent="0.25">
      <c r="A119" s="89"/>
      <c r="B119" s="108" t="s">
        <v>27</v>
      </c>
      <c r="C119" s="81">
        <f>+G89</f>
        <v>3756434.9817056004</v>
      </c>
      <c r="D119" s="109">
        <f>(C119/C122)</f>
        <v>0.35941495232834242</v>
      </c>
      <c r="E119" s="79"/>
      <c r="F119" s="79"/>
      <c r="G119" s="86"/>
    </row>
    <row r="120" spans="1:7" ht="12" customHeight="1" x14ac:dyDescent="0.25">
      <c r="A120" s="89"/>
      <c r="B120" s="108" t="s">
        <v>57</v>
      </c>
      <c r="C120" s="83">
        <f>+G97</f>
        <v>0</v>
      </c>
      <c r="D120" s="109">
        <f>(C120/C122)</f>
        <v>0</v>
      </c>
      <c r="E120" s="85"/>
      <c r="F120" s="85"/>
      <c r="G120" s="86"/>
    </row>
    <row r="121" spans="1:7" ht="12" customHeight="1" x14ac:dyDescent="0.25">
      <c r="A121" s="89"/>
      <c r="B121" s="108" t="s">
        <v>58</v>
      </c>
      <c r="C121" s="83">
        <f>+G100</f>
        <v>497691.74908528005</v>
      </c>
      <c r="D121" s="109">
        <f>(C121/C122)</f>
        <v>4.7619047619047623E-2</v>
      </c>
      <c r="E121" s="85"/>
      <c r="F121" s="85"/>
      <c r="G121" s="86"/>
    </row>
    <row r="122" spans="1:7" ht="12.75" customHeight="1" thickBot="1" x14ac:dyDescent="0.3">
      <c r="A122" s="89"/>
      <c r="B122" s="110" t="s">
        <v>59</v>
      </c>
      <c r="C122" s="111">
        <f>SUM(C116:C121)</f>
        <v>10451526.73079088</v>
      </c>
      <c r="D122" s="112">
        <f>SUM(D116:D121)</f>
        <v>1</v>
      </c>
      <c r="E122" s="85"/>
      <c r="F122" s="85"/>
      <c r="G122" s="86"/>
    </row>
    <row r="123" spans="1:7" ht="12" customHeight="1" x14ac:dyDescent="0.25">
      <c r="A123" s="89"/>
      <c r="B123" s="104"/>
      <c r="C123" s="91"/>
      <c r="D123" s="91"/>
      <c r="E123" s="91"/>
      <c r="F123" s="91"/>
      <c r="G123" s="86"/>
    </row>
    <row r="124" spans="1:7" ht="12.75" customHeight="1" x14ac:dyDescent="0.25">
      <c r="A124" s="89"/>
      <c r="B124" s="105"/>
      <c r="C124" s="91"/>
      <c r="D124" s="91"/>
      <c r="E124" s="91"/>
      <c r="F124" s="91"/>
      <c r="G124" s="86"/>
    </row>
    <row r="125" spans="1:7" ht="12" customHeight="1" thickBot="1" x14ac:dyDescent="0.3">
      <c r="A125" s="78"/>
      <c r="B125" s="125"/>
      <c r="C125" s="126" t="s">
        <v>60</v>
      </c>
      <c r="D125" s="127"/>
      <c r="E125" s="128"/>
      <c r="F125" s="84"/>
      <c r="G125" s="86"/>
    </row>
    <row r="126" spans="1:7" ht="12" customHeight="1" thickBot="1" x14ac:dyDescent="0.3">
      <c r="A126" s="89"/>
      <c r="B126" s="129" t="s">
        <v>93</v>
      </c>
      <c r="C126" s="137">
        <f>4000*5*4</f>
        <v>80000</v>
      </c>
      <c r="D126" s="137">
        <f>4000*5*6</f>
        <v>120000</v>
      </c>
      <c r="E126" s="137">
        <f>4000*5*8</f>
        <v>160000</v>
      </c>
      <c r="F126" s="124"/>
      <c r="G126" s="87"/>
    </row>
    <row r="127" spans="1:7" ht="12.75" customHeight="1" thickBot="1" x14ac:dyDescent="0.3">
      <c r="A127" s="89"/>
      <c r="B127" s="110" t="s">
        <v>94</v>
      </c>
      <c r="C127" s="111">
        <f>+C122/C126</f>
        <v>130.64408413488599</v>
      </c>
      <c r="D127" s="111">
        <f>+C122/D126</f>
        <v>87.096056089923991</v>
      </c>
      <c r="E127" s="137">
        <f>+C122/E126</f>
        <v>65.322042067442993</v>
      </c>
      <c r="F127" s="124"/>
      <c r="G127" s="87"/>
    </row>
    <row r="128" spans="1:7" ht="15.6" customHeight="1" x14ac:dyDescent="0.25">
      <c r="A128" s="89"/>
      <c r="B128" s="115" t="s">
        <v>61</v>
      </c>
      <c r="C128" s="88"/>
      <c r="D128" s="88"/>
      <c r="E128" s="88"/>
      <c r="F128" s="88"/>
      <c r="G128" s="88"/>
    </row>
  </sheetData>
  <mergeCells count="8">
    <mergeCell ref="B17:G17"/>
    <mergeCell ref="B114:C11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A7AA6A-8860-48DB-95A3-D21111A2EF75}">
  <ds:schemaRefs>
    <ds:schemaRef ds:uri="http://purl.org/dc/terms/"/>
    <ds:schemaRef ds:uri="http://schemas.microsoft.com/office/2006/metadata/properties"/>
    <ds:schemaRef ds:uri="c5dbce2d-49dc-4afe-a5b0-d7fb7a901161"/>
    <ds:schemaRef ds:uri="http://schemas.openxmlformats.org/package/2006/metadata/core-properties"/>
    <ds:schemaRef ds:uri="1030f0af-99cb-42f1-88fc-acec73331192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2743E33-9B44-4EEC-B1C9-B6ADAD912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316C10-59DF-4F37-BC1C-49DEB3D00F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Clavel 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