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CALERA\"/>
    </mc:Choice>
  </mc:AlternateContent>
  <bookViews>
    <workbookView xWindow="0" yWindow="0" windowWidth="28800" windowHeight="11475"/>
  </bookViews>
  <sheets>
    <sheet name="Gerberas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2" l="1"/>
  <c r="F63" i="2"/>
  <c r="F60" i="2"/>
  <c r="F59" i="2"/>
  <c r="F55" i="2"/>
  <c r="E123" i="2"/>
  <c r="D123" i="2"/>
  <c r="G9" i="2" s="1"/>
  <c r="C123" i="2"/>
  <c r="F93" i="2"/>
  <c r="F92" i="2"/>
  <c r="F90" i="2"/>
  <c r="D90" i="2"/>
  <c r="G89" i="2"/>
  <c r="D88" i="2"/>
  <c r="D86" i="2"/>
  <c r="G86" i="2" s="1"/>
  <c r="G88" i="2"/>
  <c r="G87" i="2"/>
  <c r="F76" i="2"/>
  <c r="F75" i="2"/>
  <c r="F74" i="2"/>
  <c r="F80" i="2"/>
  <c r="F72" i="2"/>
  <c r="F70" i="2"/>
  <c r="F67" i="2"/>
  <c r="F65" i="2"/>
  <c r="F64" i="2"/>
  <c r="F61" i="2"/>
  <c r="G59" i="2"/>
  <c r="F58" i="2"/>
  <c r="F56" i="2"/>
  <c r="F54" i="2"/>
  <c r="D32" i="2"/>
  <c r="G32" i="2" s="1"/>
  <c r="D31" i="2"/>
  <c r="G31" i="2" s="1"/>
  <c r="D30" i="2"/>
  <c r="G30" i="2" s="1"/>
  <c r="D29" i="2"/>
  <c r="G29" i="2" s="1"/>
  <c r="D28" i="2"/>
  <c r="G28" i="2" s="1"/>
  <c r="G99" i="2" l="1"/>
  <c r="G90" i="2"/>
  <c r="G91" i="2" l="1"/>
  <c r="G92" i="2"/>
  <c r="G85" i="2"/>
  <c r="G56" i="2"/>
  <c r="G58" i="2"/>
  <c r="G60" i="2"/>
  <c r="G62" i="2"/>
  <c r="G63" i="2"/>
  <c r="G64" i="2"/>
  <c r="G65" i="2"/>
  <c r="G67" i="2"/>
  <c r="G70" i="2"/>
  <c r="G71" i="2"/>
  <c r="G72" i="2"/>
  <c r="G73" i="2"/>
  <c r="G74" i="2"/>
  <c r="G75" i="2"/>
  <c r="G76" i="2"/>
  <c r="G77" i="2"/>
  <c r="G78" i="2"/>
  <c r="G79" i="2"/>
  <c r="G80" i="2"/>
  <c r="G52" i="2"/>
  <c r="G93" i="2"/>
  <c r="G61" i="2"/>
  <c r="G57" i="2"/>
  <c r="G55" i="2"/>
  <c r="G54" i="2"/>
  <c r="G46" i="2"/>
  <c r="G47" i="2" s="1"/>
  <c r="C115" i="2" s="1"/>
  <c r="G45" i="2"/>
  <c r="G27" i="2"/>
  <c r="D26" i="2"/>
  <c r="G26" i="2" s="1"/>
  <c r="G25" i="2"/>
  <c r="D24" i="2"/>
  <c r="G24" i="2" s="1"/>
  <c r="D23" i="2"/>
  <c r="G23" i="2" s="1"/>
  <c r="G22" i="2"/>
  <c r="G21" i="2"/>
  <c r="G12" i="2"/>
  <c r="G94" i="2" l="1"/>
  <c r="G81" i="2"/>
  <c r="C116" i="2" s="1"/>
  <c r="G36" i="2"/>
  <c r="C113" i="2" s="1"/>
  <c r="C117" i="2"/>
  <c r="G96" i="2" l="1"/>
  <c r="G97" i="2" s="1"/>
  <c r="C118" i="2" l="1"/>
  <c r="G98" i="2"/>
  <c r="D124" i="2" l="1"/>
  <c r="C124" i="2"/>
  <c r="E124" i="2"/>
  <c r="G100" i="2"/>
  <c r="C119" i="2"/>
  <c r="D115" i="2" l="1"/>
  <c r="D113" i="2"/>
  <c r="D117" i="2"/>
  <c r="D116" i="2"/>
  <c r="D118" i="2"/>
  <c r="D119" i="2" l="1"/>
</calcChain>
</file>

<file path=xl/sharedStrings.xml><?xml version="1.0" encoding="utf-8"?>
<sst xmlns="http://schemas.openxmlformats.org/spreadsheetml/2006/main" count="237" uniqueCount="152">
  <si>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</si>
  <si>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</si>
  <si>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</si>
  <si>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</si>
  <si>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</si>
  <si>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</si>
  <si>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</si>
  <si>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</si>
  <si>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</si>
  <si>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</si>
  <si>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</si>
  <si>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</si>
  <si>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</si>
  <si>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</si>
  <si>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</si>
  <si>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</si>
  <si>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</si>
  <si>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</si>
  <si>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</si>
  <si>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</si>
  <si>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</si>
  <si>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</si>
  <si>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</si>
  <si>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</si>
  <si>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</si>
  <si>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</si>
  <si>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</si>
  <si>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</si>
  <si>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</si>
  <si>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</si>
  <si>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</si>
  <si>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</si>
  <si>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</si>
  <si>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</si>
  <si>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</si>
  <si>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</si>
  <si>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</si>
  <si>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</si>
  <si>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</si>
  <si>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</si>
  <si>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</si>
  <si>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</si>
  <si>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</si>
  <si>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</si>
  <si>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</si>
  <si>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</si>
  <si>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</si>
  <si>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</si>
  <si>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</si>
  <si>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</si>
  <si>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</si>
  <si>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</si>
  <si>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</si>
  <si>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</si>
  <si>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</si>
  <si>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</si>
  <si>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</si>
  <si>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</si>
  <si>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</si>
  <si>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</si>
  <si>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</si>
  <si>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GERBERAS</t>
  </si>
  <si>
    <t>TIPO ESTÁNDAR</t>
  </si>
  <si>
    <t>VALPARAISO</t>
  </si>
  <si>
    <t>PROMEDIO AÑO</t>
  </si>
  <si>
    <t>PRECIO ESPERADO (VARA)</t>
  </si>
  <si>
    <t>M. NACIONAL</t>
  </si>
  <si>
    <t>TODO EL AÑO</t>
  </si>
  <si>
    <t>Preparación suelo</t>
  </si>
  <si>
    <t>Desinfeccion</t>
  </si>
  <si>
    <t>Deshoje</t>
  </si>
  <si>
    <t>J.M.</t>
  </si>
  <si>
    <t>OCT-NOV</t>
  </si>
  <si>
    <t>COSTOS DIRECTOS DE PRODUCCIÓN POR 4 INVERNADERO (INCLUYE IVA)</t>
  </si>
  <si>
    <t>J.H.</t>
  </si>
  <si>
    <t>Plantacion</t>
  </si>
  <si>
    <t>NOV - DIC</t>
  </si>
  <si>
    <t>Riego</t>
  </si>
  <si>
    <t>Cosecha y embalaje</t>
  </si>
  <si>
    <t>Labores de mantencion</t>
  </si>
  <si>
    <t>Litros</t>
  </si>
  <si>
    <t>noviembre</t>
  </si>
  <si>
    <t xml:space="preserve">Encamado e instalacion </t>
  </si>
  <si>
    <t>Valor por año (2 años duración)</t>
  </si>
  <si>
    <t>Planta</t>
  </si>
  <si>
    <t>Noviembre</t>
  </si>
  <si>
    <t>Todo el año</t>
  </si>
  <si>
    <t>Nitrato de calcio</t>
  </si>
  <si>
    <t>Extracto Algas</t>
  </si>
  <si>
    <t>Vertimec</t>
  </si>
  <si>
    <t>Applaud</t>
  </si>
  <si>
    <t>Engeo</t>
  </si>
  <si>
    <t>Gladiador</t>
  </si>
  <si>
    <t>Chess</t>
  </si>
  <si>
    <t>INSECTICIDAS - FUNGICIDAS</t>
  </si>
  <si>
    <t>Break</t>
  </si>
  <si>
    <t>Topas</t>
  </si>
  <si>
    <t>Tebuconazole</t>
  </si>
  <si>
    <t>Mallas protectoras</t>
  </si>
  <si>
    <t>20 l</t>
  </si>
  <si>
    <t>1 l</t>
  </si>
  <si>
    <t>1 kg</t>
  </si>
  <si>
    <t>sobre 50 gr</t>
  </si>
  <si>
    <t>sobre 100 gr</t>
  </si>
  <si>
    <t xml:space="preserve">fardo </t>
  </si>
  <si>
    <t>todo el año</t>
  </si>
  <si>
    <t>Costo unitario ($/vara)</t>
  </si>
  <si>
    <t>PLANTAS</t>
  </si>
  <si>
    <t>Nitrato Potasio</t>
  </si>
  <si>
    <t>Nitrato de magnesio</t>
  </si>
  <si>
    <t>Fosfato Monopotasico</t>
  </si>
  <si>
    <t>2,5 kg</t>
  </si>
  <si>
    <t>Acido Fósforico</t>
  </si>
  <si>
    <t>Bioestimulante foliar</t>
  </si>
  <si>
    <t>Previcur</t>
  </si>
  <si>
    <t>Protectores aplicacdores</t>
  </si>
  <si>
    <t>set</t>
  </si>
  <si>
    <t>marzo-abril</t>
  </si>
  <si>
    <t>Electricidad riego</t>
  </si>
  <si>
    <t>mes</t>
  </si>
  <si>
    <t>$/ 4 invernaderos</t>
  </si>
  <si>
    <t>ESCENARIOS COSTO UNITARIO  ($/vara)</t>
  </si>
  <si>
    <t>Rendimiento (varas/año x 4 inv)</t>
  </si>
  <si>
    <t>Reposicion polietileno Techo (50 % superficie)</t>
  </si>
  <si>
    <t>JH</t>
  </si>
  <si>
    <t>Marzo</t>
  </si>
  <si>
    <t>Reposicion polietileno cortinas (30 % superficie)</t>
  </si>
  <si>
    <t>Reposicion Polietileno Canoas</t>
  </si>
  <si>
    <t>Postulada de malllas sombra</t>
  </si>
  <si>
    <t>Nit-one</t>
  </si>
  <si>
    <t>Ultrasol flor de corte</t>
  </si>
  <si>
    <t>1 litro</t>
  </si>
  <si>
    <t>10 l</t>
  </si>
  <si>
    <t>Paraquat (sag 3574)</t>
  </si>
  <si>
    <t>Evisect</t>
  </si>
  <si>
    <t>Alliete</t>
  </si>
  <si>
    <t>Reparacion Polietileno Techos (50%)</t>
  </si>
  <si>
    <t>m2</t>
  </si>
  <si>
    <t>Reparacion Polietileno Cortinas y botaperros (30%)</t>
  </si>
  <si>
    <t>Reparacion Polietileno Canaletas (50%)</t>
  </si>
  <si>
    <t>Maderas reposicion (charlata-clavos)</t>
  </si>
  <si>
    <t>Repocision cintas de riego (50%)</t>
  </si>
  <si>
    <t>ml</t>
  </si>
  <si>
    <t>Desinfeccion suelo - Metan Sodio (valor año)</t>
  </si>
  <si>
    <t>Fertrilon combio</t>
  </si>
  <si>
    <t>Master Fe</t>
  </si>
  <si>
    <t>5 kg</t>
  </si>
  <si>
    <t>Hidróxido de Potasio</t>
  </si>
  <si>
    <t>1 saco 25 kg</t>
  </si>
  <si>
    <t>RENDIMIENTO (varas/1050M2)</t>
  </si>
  <si>
    <t>Retiro de malla sombra</t>
  </si>
  <si>
    <t>La Calea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</si>
</sst>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.00&quot; &quot;;&quot;-&quot;* #,##0.00&quot; &quot;;&quot; &quot;* &quot;-&quot;??&quot; &quot;"/>
    <numFmt numFmtId="167" formatCode="#,##0.0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164" fontId="19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7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9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8" fontId="1" fillId="2" borderId="23" xfId="0" applyNumberFormat="1" applyFont="1" applyFill="1" applyBorder="1" applyAlignment="1">
      <alignment vertical="center"/>
    </xf>
    <xf numFmtId="168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8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8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8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8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9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169" fontId="13" fillId="8" borderId="41" xfId="0" applyNumberFormat="1" applyFont="1" applyFill="1" applyBorder="1" applyAlignment="1">
      <alignment vertical="center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 applyAlignment="1"/>
    <xf numFmtId="3" fontId="4" fillId="2" borderId="57" xfId="0" applyNumberFormat="1" applyFont="1" applyFill="1" applyBorder="1" applyAlignment="1"/>
    <xf numFmtId="49" fontId="4" fillId="2" borderId="57" xfId="0" applyNumberFormat="1" applyFont="1" applyFill="1" applyBorder="1" applyAlignment="1"/>
    <xf numFmtId="164" fontId="0" fillId="0" borderId="0" xfId="1" applyFont="1" applyAlignment="1"/>
    <xf numFmtId="167" fontId="4" fillId="10" borderId="6" xfId="0" applyNumberFormat="1" applyFont="1" applyFill="1" applyBorder="1" applyAlignment="1"/>
    <xf numFmtId="165" fontId="13" fillId="8" borderId="55" xfId="2" applyFont="1" applyFill="1" applyBorder="1" applyAlignment="1">
      <alignment vertical="center"/>
    </xf>
    <xf numFmtId="165" fontId="13" fillId="8" borderId="56" xfId="2" applyFont="1" applyFill="1" applyBorder="1" applyAlignment="1">
      <alignment vertical="center"/>
    </xf>
    <xf numFmtId="3" fontId="21" fillId="0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left"/>
    </xf>
    <xf numFmtId="2" fontId="4" fillId="2" borderId="6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horizontal="center"/>
    </xf>
    <xf numFmtId="0" fontId="4" fillId="2" borderId="57" xfId="0" applyNumberFormat="1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Moneda [0]" xfId="1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678873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60720" cy="122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25"/>
  <sheetViews>
    <sheetView tabSelected="1" zoomScale="110" zoomScaleNormal="110" workbookViewId="0">
      <selection activeCell="I7" sqref="I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12" style="1" bestFit="1" customWidth="1"/>
    <col min="9" max="9" width="18.7109375" style="1" customWidth="1"/>
    <col min="10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61</v>
      </c>
      <c r="D9" s="8"/>
      <c r="E9" s="160" t="s">
        <v>149</v>
      </c>
      <c r="F9" s="161"/>
      <c r="G9" s="146">
        <f>+D123</f>
        <v>82560</v>
      </c>
    </row>
    <row r="10" spans="1:7" ht="38.25" customHeight="1" x14ac:dyDescent="0.25">
      <c r="A10" s="5"/>
      <c r="B10" s="9" t="s">
        <v>1</v>
      </c>
      <c r="C10" s="10" t="s">
        <v>62</v>
      </c>
      <c r="D10" s="11"/>
      <c r="E10" s="162" t="s">
        <v>2</v>
      </c>
      <c r="F10" s="163"/>
      <c r="G10" s="12" t="s">
        <v>64</v>
      </c>
    </row>
    <row r="11" spans="1:7" ht="18" customHeight="1" x14ac:dyDescent="0.25">
      <c r="A11" s="5"/>
      <c r="B11" s="9" t="s">
        <v>3</v>
      </c>
      <c r="C11" s="12" t="s">
        <v>4</v>
      </c>
      <c r="D11" s="11"/>
      <c r="E11" s="162" t="s">
        <v>65</v>
      </c>
      <c r="F11" s="163"/>
      <c r="G11" s="13">
        <v>400</v>
      </c>
    </row>
    <row r="12" spans="1:7" ht="16.899999999999999" customHeight="1" x14ac:dyDescent="0.25">
      <c r="A12" s="5"/>
      <c r="B12" s="9" t="s">
        <v>5</v>
      </c>
      <c r="C12" s="14" t="s">
        <v>63</v>
      </c>
      <c r="D12" s="11"/>
      <c r="E12" s="148" t="s">
        <v>6</v>
      </c>
      <c r="F12" s="149"/>
      <c r="G12" s="15">
        <f>+D123*G11</f>
        <v>33024000</v>
      </c>
    </row>
    <row r="13" spans="1:7" ht="11.25" customHeight="1" x14ac:dyDescent="0.25">
      <c r="A13" s="5"/>
      <c r="B13" s="9" t="s">
        <v>7</v>
      </c>
      <c r="C13" s="12" t="s">
        <v>151</v>
      </c>
      <c r="D13" s="11"/>
      <c r="E13" s="162" t="s">
        <v>8</v>
      </c>
      <c r="F13" s="163"/>
      <c r="G13" s="12" t="s">
        <v>66</v>
      </c>
    </row>
    <row r="14" spans="1:7" ht="13.5" customHeight="1" x14ac:dyDescent="0.25">
      <c r="A14" s="5"/>
      <c r="B14" s="9" t="s">
        <v>9</v>
      </c>
      <c r="C14" s="12" t="s">
        <v>60</v>
      </c>
      <c r="D14" s="11"/>
      <c r="E14" s="162" t="s">
        <v>10</v>
      </c>
      <c r="F14" s="163"/>
      <c r="G14" s="12" t="s">
        <v>67</v>
      </c>
    </row>
    <row r="15" spans="1:7" ht="25.5" customHeight="1" x14ac:dyDescent="0.25">
      <c r="A15" s="5"/>
      <c r="B15" s="9" t="s">
        <v>11</v>
      </c>
      <c r="C15" s="16">
        <v>44986</v>
      </c>
      <c r="D15" s="11"/>
      <c r="E15" s="164" t="s">
        <v>12</v>
      </c>
      <c r="F15" s="165"/>
      <c r="G15" s="14"/>
    </row>
    <row r="16" spans="1:7" ht="12" customHeight="1" x14ac:dyDescent="0.25">
      <c r="A16" s="2"/>
      <c r="B16" s="17"/>
      <c r="C16" s="18"/>
      <c r="D16" s="19"/>
      <c r="E16" s="20"/>
      <c r="F16" s="20"/>
      <c r="G16" s="21"/>
    </row>
    <row r="17" spans="1:7" ht="12" customHeight="1" x14ac:dyDescent="0.25">
      <c r="A17" s="22"/>
      <c r="B17" s="156" t="s">
        <v>73</v>
      </c>
      <c r="C17" s="157"/>
      <c r="D17" s="157"/>
      <c r="E17" s="157"/>
      <c r="F17" s="157"/>
      <c r="G17" s="157"/>
    </row>
    <row r="18" spans="1:7" ht="12" customHeight="1" x14ac:dyDescent="0.25">
      <c r="A18" s="2"/>
      <c r="B18" s="23"/>
      <c r="C18" s="24"/>
      <c r="D18" s="24"/>
      <c r="E18" s="24"/>
      <c r="F18" s="25"/>
      <c r="G18" s="25"/>
    </row>
    <row r="19" spans="1:7" ht="12" customHeight="1" x14ac:dyDescent="0.25">
      <c r="A19" s="5"/>
      <c r="B19" s="26" t="s">
        <v>13</v>
      </c>
      <c r="C19" s="27"/>
      <c r="D19" s="28"/>
      <c r="E19" s="28"/>
      <c r="F19" s="28"/>
      <c r="G19" s="28"/>
    </row>
    <row r="20" spans="1:7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ht="12.75" customHeight="1" x14ac:dyDescent="0.25">
      <c r="A21" s="22"/>
      <c r="B21" s="147" t="s">
        <v>82</v>
      </c>
      <c r="C21" s="30" t="s">
        <v>74</v>
      </c>
      <c r="D21" s="31">
        <v>4</v>
      </c>
      <c r="E21" s="147" t="s">
        <v>72</v>
      </c>
      <c r="F21" s="15">
        <v>25000</v>
      </c>
      <c r="G21" s="15">
        <f t="shared" ref="G21:G32" si="0">+F21*D21</f>
        <v>100000</v>
      </c>
    </row>
    <row r="22" spans="1:7" ht="12.75" customHeight="1" x14ac:dyDescent="0.25">
      <c r="A22" s="22"/>
      <c r="B22" s="147" t="s">
        <v>75</v>
      </c>
      <c r="C22" s="30" t="s">
        <v>74</v>
      </c>
      <c r="D22" s="31">
        <v>1</v>
      </c>
      <c r="E22" s="147" t="s">
        <v>76</v>
      </c>
      <c r="F22" s="15">
        <v>25000</v>
      </c>
      <c r="G22" s="15">
        <f t="shared" si="0"/>
        <v>25000</v>
      </c>
    </row>
    <row r="23" spans="1:7" ht="12.75" customHeight="1" x14ac:dyDescent="0.25">
      <c r="A23" s="22"/>
      <c r="B23" s="147" t="s">
        <v>77</v>
      </c>
      <c r="C23" s="30" t="s">
        <v>74</v>
      </c>
      <c r="D23" s="31">
        <f>1*4*12</f>
        <v>48</v>
      </c>
      <c r="E23" s="147" t="s">
        <v>67</v>
      </c>
      <c r="F23" s="15">
        <v>25000</v>
      </c>
      <c r="G23" s="15">
        <f t="shared" si="0"/>
        <v>1200000</v>
      </c>
    </row>
    <row r="24" spans="1:7" ht="12.75" customHeight="1" x14ac:dyDescent="0.25">
      <c r="A24" s="22"/>
      <c r="B24" s="147" t="s">
        <v>69</v>
      </c>
      <c r="C24" s="30" t="s">
        <v>74</v>
      </c>
      <c r="D24" s="31">
        <f>0.5*4*12</f>
        <v>24</v>
      </c>
      <c r="E24" s="147" t="s">
        <v>67</v>
      </c>
      <c r="F24" s="15">
        <v>25000</v>
      </c>
      <c r="G24" s="15">
        <f t="shared" si="0"/>
        <v>600000</v>
      </c>
    </row>
    <row r="25" spans="1:7" ht="12.75" customHeight="1" x14ac:dyDescent="0.25">
      <c r="A25" s="22"/>
      <c r="B25" s="147" t="s">
        <v>70</v>
      </c>
      <c r="C25" s="30" t="s">
        <v>74</v>
      </c>
      <c r="D25" s="31">
        <v>12</v>
      </c>
      <c r="E25" s="147" t="s">
        <v>67</v>
      </c>
      <c r="F25" s="15">
        <v>25000</v>
      </c>
      <c r="G25" s="15">
        <f t="shared" si="0"/>
        <v>300000</v>
      </c>
    </row>
    <row r="26" spans="1:7" ht="12.75" customHeight="1" x14ac:dyDescent="0.25">
      <c r="A26" s="22"/>
      <c r="B26" s="147" t="s">
        <v>78</v>
      </c>
      <c r="C26" s="30" t="s">
        <v>74</v>
      </c>
      <c r="D26" s="31">
        <f>2*4*12</f>
        <v>96</v>
      </c>
      <c r="E26" s="147" t="s">
        <v>67</v>
      </c>
      <c r="F26" s="15">
        <v>25000</v>
      </c>
      <c r="G26" s="15">
        <f t="shared" si="0"/>
        <v>2400000</v>
      </c>
    </row>
    <row r="27" spans="1:7" ht="12.75" customHeight="1" x14ac:dyDescent="0.25">
      <c r="A27" s="22"/>
      <c r="B27" s="147" t="s">
        <v>79</v>
      </c>
      <c r="C27" s="30" t="s">
        <v>74</v>
      </c>
      <c r="D27" s="31">
        <v>50</v>
      </c>
      <c r="E27" s="147" t="s">
        <v>67</v>
      </c>
      <c r="F27" s="15">
        <v>25000</v>
      </c>
      <c r="G27" s="15">
        <f t="shared" si="0"/>
        <v>1250000</v>
      </c>
    </row>
    <row r="28" spans="1:7" ht="12.75" customHeight="1" x14ac:dyDescent="0.25">
      <c r="A28" s="22"/>
      <c r="B28" s="152" t="s">
        <v>123</v>
      </c>
      <c r="C28" s="30" t="s">
        <v>124</v>
      </c>
      <c r="D28" s="153">
        <f>(60000/35000)*(5*50%)</f>
        <v>4.2857142857142856</v>
      </c>
      <c r="E28" s="150" t="s">
        <v>125</v>
      </c>
      <c r="F28" s="15">
        <v>35000</v>
      </c>
      <c r="G28" s="15">
        <f t="shared" si="0"/>
        <v>150000</v>
      </c>
    </row>
    <row r="29" spans="1:7" ht="12.75" customHeight="1" x14ac:dyDescent="0.25">
      <c r="A29" s="22"/>
      <c r="B29" s="152" t="s">
        <v>126</v>
      </c>
      <c r="C29" s="30" t="s">
        <v>124</v>
      </c>
      <c r="D29" s="153">
        <f>+(15000/35000)*(5*0.3)</f>
        <v>0.64285714285714279</v>
      </c>
      <c r="E29" s="150" t="s">
        <v>125</v>
      </c>
      <c r="F29" s="15">
        <v>35000</v>
      </c>
      <c r="G29" s="15">
        <f t="shared" si="0"/>
        <v>22499.999999999996</v>
      </c>
    </row>
    <row r="30" spans="1:7" ht="12.75" customHeight="1" x14ac:dyDescent="0.25">
      <c r="A30" s="22"/>
      <c r="B30" s="152" t="s">
        <v>127</v>
      </c>
      <c r="C30" s="30" t="s">
        <v>124</v>
      </c>
      <c r="D30" s="153">
        <f>(15000/35000)*(5*50%)</f>
        <v>1.0714285714285714</v>
      </c>
      <c r="E30" s="150" t="s">
        <v>125</v>
      </c>
      <c r="F30" s="15">
        <v>35000</v>
      </c>
      <c r="G30" s="15">
        <f t="shared" si="0"/>
        <v>37500</v>
      </c>
    </row>
    <row r="31" spans="1:7" ht="12.75" customHeight="1" x14ac:dyDescent="0.25">
      <c r="A31" s="22"/>
      <c r="B31" s="152" t="s">
        <v>128</v>
      </c>
      <c r="C31" s="30" t="s">
        <v>124</v>
      </c>
      <c r="D31" s="153">
        <f t="shared" ref="D31:D32" si="1">(60000/35000)*(5*50%)</f>
        <v>4.2857142857142856</v>
      </c>
      <c r="E31" s="150" t="s">
        <v>85</v>
      </c>
      <c r="F31" s="15">
        <v>35000</v>
      </c>
      <c r="G31" s="15">
        <f t="shared" si="0"/>
        <v>150000</v>
      </c>
    </row>
    <row r="32" spans="1:7" ht="12.75" customHeight="1" x14ac:dyDescent="0.25">
      <c r="A32" s="22"/>
      <c r="B32" s="152" t="s">
        <v>150</v>
      </c>
      <c r="C32" s="30" t="s">
        <v>124</v>
      </c>
      <c r="D32" s="153">
        <f t="shared" si="1"/>
        <v>4.2857142857142856</v>
      </c>
      <c r="E32" s="150" t="s">
        <v>125</v>
      </c>
      <c r="F32" s="15">
        <v>35000</v>
      </c>
      <c r="G32" s="15">
        <f t="shared" si="0"/>
        <v>150000</v>
      </c>
    </row>
    <row r="33" spans="1:7" ht="12.75" customHeight="1" x14ac:dyDescent="0.25">
      <c r="A33" s="22"/>
      <c r="B33" s="150"/>
      <c r="C33" s="30"/>
      <c r="D33" s="31"/>
      <c r="E33" s="150"/>
      <c r="F33" s="15"/>
      <c r="G33" s="15"/>
    </row>
    <row r="34" spans="1:7" ht="15" x14ac:dyDescent="0.25">
      <c r="A34" s="22"/>
      <c r="B34" s="147"/>
      <c r="C34" s="30"/>
      <c r="D34" s="31"/>
      <c r="E34" s="147"/>
      <c r="F34" s="15"/>
      <c r="G34" s="15"/>
    </row>
    <row r="35" spans="1:7" ht="12.75" customHeight="1" x14ac:dyDescent="0.25">
      <c r="A35" s="22"/>
      <c r="B35" s="147"/>
      <c r="C35" s="30"/>
      <c r="D35" s="31"/>
      <c r="E35" s="147"/>
      <c r="F35" s="15"/>
      <c r="G35" s="15"/>
    </row>
    <row r="36" spans="1:7" ht="12.75" customHeight="1" x14ac:dyDescent="0.25">
      <c r="A36" s="22"/>
      <c r="B36" s="32" t="s">
        <v>20</v>
      </c>
      <c r="C36" s="33"/>
      <c r="D36" s="33"/>
      <c r="E36" s="33"/>
      <c r="F36" s="34"/>
      <c r="G36" s="35">
        <f>SUM(G21:G35)</f>
        <v>6385000</v>
      </c>
    </row>
    <row r="37" spans="1:7" ht="12" customHeight="1" x14ac:dyDescent="0.25">
      <c r="A37" s="2"/>
      <c r="B37" s="23"/>
      <c r="C37" s="25"/>
      <c r="D37" s="25"/>
      <c r="E37" s="25"/>
      <c r="F37" s="36"/>
      <c r="G37" s="36"/>
    </row>
    <row r="38" spans="1:7" ht="12" customHeight="1" x14ac:dyDescent="0.25">
      <c r="A38" s="5"/>
      <c r="B38" s="37" t="s">
        <v>21</v>
      </c>
      <c r="C38" s="38"/>
      <c r="D38" s="39"/>
      <c r="E38" s="39"/>
      <c r="F38" s="40"/>
      <c r="G38" s="40"/>
    </row>
    <row r="39" spans="1:7" ht="24" customHeight="1" x14ac:dyDescent="0.25">
      <c r="A39" s="5"/>
      <c r="B39" s="41" t="s">
        <v>14</v>
      </c>
      <c r="C39" s="42" t="s">
        <v>15</v>
      </c>
      <c r="D39" s="42" t="s">
        <v>16</v>
      </c>
      <c r="E39" s="41" t="s">
        <v>17</v>
      </c>
      <c r="F39" s="42" t="s">
        <v>18</v>
      </c>
      <c r="G39" s="41" t="s">
        <v>19</v>
      </c>
    </row>
    <row r="40" spans="1:7" ht="12" customHeight="1" x14ac:dyDescent="0.25">
      <c r="A40" s="5"/>
      <c r="B40" s="43"/>
      <c r="C40" s="44"/>
      <c r="D40" s="44"/>
      <c r="E40" s="44"/>
      <c r="F40" s="43"/>
      <c r="G40" s="43"/>
    </row>
    <row r="41" spans="1:7" ht="12" customHeight="1" x14ac:dyDescent="0.25">
      <c r="A41" s="5"/>
      <c r="B41" s="45" t="s">
        <v>22</v>
      </c>
      <c r="C41" s="46"/>
      <c r="D41" s="46"/>
      <c r="E41" s="46"/>
      <c r="F41" s="47"/>
      <c r="G41" s="47"/>
    </row>
    <row r="42" spans="1:7" ht="12" customHeight="1" x14ac:dyDescent="0.25">
      <c r="A42" s="2"/>
      <c r="B42" s="147"/>
      <c r="C42" s="30"/>
      <c r="D42" s="31"/>
      <c r="E42" s="147"/>
      <c r="F42" s="15"/>
      <c r="G42" s="15"/>
    </row>
    <row r="43" spans="1:7" ht="12" customHeight="1" x14ac:dyDescent="0.25">
      <c r="A43" s="5"/>
      <c r="B43" s="37" t="s">
        <v>23</v>
      </c>
      <c r="C43" s="38"/>
      <c r="D43" s="39"/>
      <c r="E43" s="39"/>
      <c r="F43" s="40"/>
      <c r="G43" s="40"/>
    </row>
    <row r="44" spans="1:7" ht="24" customHeight="1" x14ac:dyDescent="0.25">
      <c r="A44" s="5"/>
      <c r="B44" s="51" t="s">
        <v>14</v>
      </c>
      <c r="C44" s="51" t="s">
        <v>15</v>
      </c>
      <c r="D44" s="51" t="s">
        <v>16</v>
      </c>
      <c r="E44" s="51" t="s">
        <v>17</v>
      </c>
      <c r="F44" s="52" t="s">
        <v>18</v>
      </c>
      <c r="G44" s="51" t="s">
        <v>19</v>
      </c>
    </row>
    <row r="45" spans="1:7" ht="12.75" customHeight="1" x14ac:dyDescent="0.25">
      <c r="A45" s="22"/>
      <c r="B45" s="147" t="s">
        <v>68</v>
      </c>
      <c r="C45" s="30" t="s">
        <v>71</v>
      </c>
      <c r="D45" s="31">
        <v>0.6</v>
      </c>
      <c r="E45" s="147" t="s">
        <v>72</v>
      </c>
      <c r="F45" s="15">
        <v>180000</v>
      </c>
      <c r="G45" s="15">
        <f>+D45*F45</f>
        <v>108000</v>
      </c>
    </row>
    <row r="46" spans="1:7" ht="12.75" customHeight="1" x14ac:dyDescent="0.25">
      <c r="A46" s="22"/>
      <c r="B46" s="53"/>
      <c r="C46" s="54"/>
      <c r="D46" s="55"/>
      <c r="E46" s="56"/>
      <c r="F46" s="57"/>
      <c r="G46" s="57">
        <f t="shared" ref="G46" si="2">(D46*F46)</f>
        <v>0</v>
      </c>
    </row>
    <row r="47" spans="1:7" ht="12.75" customHeight="1" x14ac:dyDescent="0.25">
      <c r="A47" s="5"/>
      <c r="B47" s="58" t="s">
        <v>24</v>
      </c>
      <c r="C47" s="59"/>
      <c r="D47" s="59"/>
      <c r="E47" s="59"/>
      <c r="F47" s="60"/>
      <c r="G47" s="61">
        <f>SUM(G45:G46)</f>
        <v>108000</v>
      </c>
    </row>
    <row r="48" spans="1:7" ht="12" customHeight="1" x14ac:dyDescent="0.25">
      <c r="A48" s="2"/>
      <c r="B48" s="48"/>
      <c r="C48" s="49"/>
      <c r="D48" s="49"/>
      <c r="E48" s="49"/>
      <c r="F48" s="50"/>
      <c r="G48" s="50"/>
    </row>
    <row r="49" spans="1:7" ht="12" customHeight="1" x14ac:dyDescent="0.25">
      <c r="A49" s="5"/>
      <c r="B49" s="37" t="s">
        <v>25</v>
      </c>
      <c r="C49" s="38"/>
      <c r="D49" s="39"/>
      <c r="E49" s="39"/>
      <c r="F49" s="40"/>
      <c r="G49" s="40"/>
    </row>
    <row r="50" spans="1:7" ht="24" customHeight="1" x14ac:dyDescent="0.25">
      <c r="A50" s="5"/>
      <c r="B50" s="52" t="s">
        <v>26</v>
      </c>
      <c r="C50" s="52" t="s">
        <v>27</v>
      </c>
      <c r="D50" s="52" t="s">
        <v>28</v>
      </c>
      <c r="E50" s="52" t="s">
        <v>17</v>
      </c>
      <c r="F50" s="52" t="s">
        <v>18</v>
      </c>
      <c r="G50" s="52" t="s">
        <v>19</v>
      </c>
    </row>
    <row r="51" spans="1:7" ht="12.75" customHeight="1" x14ac:dyDescent="0.25">
      <c r="A51" s="22"/>
      <c r="B51" s="62" t="s">
        <v>107</v>
      </c>
      <c r="C51" s="63"/>
      <c r="D51" s="63"/>
      <c r="E51" s="63"/>
      <c r="F51" s="63"/>
      <c r="G51" s="63"/>
    </row>
    <row r="52" spans="1:7" ht="12.75" customHeight="1" x14ac:dyDescent="0.25">
      <c r="A52" s="22"/>
      <c r="B52" s="148" t="s">
        <v>83</v>
      </c>
      <c r="C52" s="64" t="s">
        <v>84</v>
      </c>
      <c r="D52" s="65">
        <v>4000</v>
      </c>
      <c r="E52" s="64" t="s">
        <v>85</v>
      </c>
      <c r="F52" s="66">
        <v>1400</v>
      </c>
      <c r="G52" s="66">
        <f>(D52*F52)</f>
        <v>5600000</v>
      </c>
    </row>
    <row r="53" spans="1:7" ht="12.75" customHeight="1" x14ac:dyDescent="0.25">
      <c r="A53" s="22"/>
      <c r="B53" s="67" t="s">
        <v>29</v>
      </c>
      <c r="C53" s="68"/>
      <c r="D53" s="149"/>
      <c r="E53" s="68"/>
      <c r="F53" s="66"/>
      <c r="G53" s="66"/>
    </row>
    <row r="54" spans="1:7" ht="12.75" customHeight="1" x14ac:dyDescent="0.25">
      <c r="A54" s="22"/>
      <c r="B54" s="148" t="s">
        <v>108</v>
      </c>
      <c r="C54" s="68" t="s">
        <v>30</v>
      </c>
      <c r="D54" s="149">
        <v>50</v>
      </c>
      <c r="E54" s="68" t="s">
        <v>105</v>
      </c>
      <c r="F54" s="66">
        <f>36975*1.19/25</f>
        <v>1760.01</v>
      </c>
      <c r="G54" s="66">
        <f>(D54*F54)</f>
        <v>88000.5</v>
      </c>
    </row>
    <row r="55" spans="1:7" ht="12.75" customHeight="1" x14ac:dyDescent="0.25">
      <c r="A55" s="22"/>
      <c r="B55" s="148" t="s">
        <v>129</v>
      </c>
      <c r="C55" s="68" t="s">
        <v>30</v>
      </c>
      <c r="D55" s="149">
        <v>25</v>
      </c>
      <c r="E55" s="68" t="s">
        <v>105</v>
      </c>
      <c r="F55" s="66">
        <f>26891*1.19/25</f>
        <v>1280.0115999999998</v>
      </c>
      <c r="G55" s="66">
        <f>(D55*F55)</f>
        <v>32000.289999999994</v>
      </c>
    </row>
    <row r="56" spans="1:7" ht="12.75" customHeight="1" x14ac:dyDescent="0.25">
      <c r="A56" s="22"/>
      <c r="B56" s="148" t="s">
        <v>109</v>
      </c>
      <c r="C56" s="64" t="s">
        <v>30</v>
      </c>
      <c r="D56" s="65">
        <v>25</v>
      </c>
      <c r="E56" s="64" t="s">
        <v>105</v>
      </c>
      <c r="F56" s="66">
        <f>19160*1.19/25</f>
        <v>912.01599999999996</v>
      </c>
      <c r="G56" s="66">
        <f t="shared" ref="G56:G65" si="3">+F56*D56</f>
        <v>22800.399999999998</v>
      </c>
    </row>
    <row r="57" spans="1:7" ht="12.75" customHeight="1" x14ac:dyDescent="0.25">
      <c r="A57" s="22"/>
      <c r="B57" s="148" t="s">
        <v>110</v>
      </c>
      <c r="C57" s="64" t="s">
        <v>31</v>
      </c>
      <c r="D57" s="65">
        <v>25</v>
      </c>
      <c r="E57" s="64" t="s">
        <v>105</v>
      </c>
      <c r="F57" s="66">
        <v>1890</v>
      </c>
      <c r="G57" s="66">
        <f t="shared" si="3"/>
        <v>47250</v>
      </c>
    </row>
    <row r="58" spans="1:7" ht="12.75" customHeight="1" x14ac:dyDescent="0.25">
      <c r="A58" s="22"/>
      <c r="B58" s="148" t="s">
        <v>87</v>
      </c>
      <c r="C58" s="64" t="s">
        <v>30</v>
      </c>
      <c r="D58" s="65">
        <v>50</v>
      </c>
      <c r="E58" s="64" t="s">
        <v>105</v>
      </c>
      <c r="F58" s="66">
        <f>29412*1.19/25</f>
        <v>1400.0111999999999</v>
      </c>
      <c r="G58" s="66">
        <f t="shared" si="3"/>
        <v>70000.56</v>
      </c>
    </row>
    <row r="59" spans="1:7" ht="12.75" customHeight="1" x14ac:dyDescent="0.25">
      <c r="A59" s="22"/>
      <c r="B59" s="151" t="s">
        <v>130</v>
      </c>
      <c r="C59" s="64" t="s">
        <v>31</v>
      </c>
      <c r="D59" s="65">
        <v>140</v>
      </c>
      <c r="E59" s="64" t="s">
        <v>105</v>
      </c>
      <c r="F59" s="66">
        <f>37983*1.19/25</f>
        <v>1807.9907999999998</v>
      </c>
      <c r="G59" s="66">
        <f>+F59*D59</f>
        <v>253118.71199999997</v>
      </c>
    </row>
    <row r="60" spans="1:7" ht="12.75" customHeight="1" x14ac:dyDescent="0.25">
      <c r="A60" s="22"/>
      <c r="B60" s="148" t="s">
        <v>144</v>
      </c>
      <c r="C60" s="64" t="s">
        <v>111</v>
      </c>
      <c r="D60" s="65">
        <v>1</v>
      </c>
      <c r="E60" s="64" t="s">
        <v>105</v>
      </c>
      <c r="F60" s="66">
        <f>43529*1.19</f>
        <v>51799.509999999995</v>
      </c>
      <c r="G60" s="66">
        <f t="shared" si="3"/>
        <v>51799.509999999995</v>
      </c>
    </row>
    <row r="61" spans="1:7" ht="12.75" customHeight="1" x14ac:dyDescent="0.25">
      <c r="A61" s="22"/>
      <c r="B61" s="148" t="s">
        <v>112</v>
      </c>
      <c r="C61" s="64" t="s">
        <v>131</v>
      </c>
      <c r="D61" s="65">
        <v>12</v>
      </c>
      <c r="E61" s="64" t="s">
        <v>105</v>
      </c>
      <c r="F61" s="66">
        <f>9916*1.19</f>
        <v>11800.039999999999</v>
      </c>
      <c r="G61" s="66">
        <f t="shared" si="3"/>
        <v>141600.47999999998</v>
      </c>
    </row>
    <row r="62" spans="1:7" ht="12.75" customHeight="1" x14ac:dyDescent="0.25">
      <c r="A62" s="22"/>
      <c r="B62" s="148" t="s">
        <v>145</v>
      </c>
      <c r="C62" s="64" t="s">
        <v>146</v>
      </c>
      <c r="D62" s="65">
        <v>1</v>
      </c>
      <c r="E62" s="64" t="s">
        <v>105</v>
      </c>
      <c r="F62" s="66">
        <v>68500</v>
      </c>
      <c r="G62" s="66">
        <f t="shared" si="3"/>
        <v>68500</v>
      </c>
    </row>
    <row r="63" spans="1:7" ht="12.75" customHeight="1" x14ac:dyDescent="0.25">
      <c r="A63" s="22"/>
      <c r="B63" s="148" t="s">
        <v>147</v>
      </c>
      <c r="C63" s="64" t="s">
        <v>148</v>
      </c>
      <c r="D63" s="65">
        <v>0.5</v>
      </c>
      <c r="E63" s="64" t="s">
        <v>86</v>
      </c>
      <c r="F63" s="66">
        <f>65798*1.19</f>
        <v>78299.62</v>
      </c>
      <c r="G63" s="66">
        <f t="shared" si="3"/>
        <v>39149.81</v>
      </c>
    </row>
    <row r="64" spans="1:7" ht="12.75" customHeight="1" x14ac:dyDescent="0.25">
      <c r="A64" s="22"/>
      <c r="B64" s="148" t="s">
        <v>88</v>
      </c>
      <c r="C64" s="64" t="s">
        <v>99</v>
      </c>
      <c r="D64" s="65">
        <v>1</v>
      </c>
      <c r="E64" s="64" t="s">
        <v>105</v>
      </c>
      <c r="F64" s="66">
        <f>113445*1.19</f>
        <v>134999.54999999999</v>
      </c>
      <c r="G64" s="66">
        <f t="shared" si="3"/>
        <v>134999.54999999999</v>
      </c>
    </row>
    <row r="65" spans="1:7" ht="12.75" customHeight="1" x14ac:dyDescent="0.25">
      <c r="A65" s="22"/>
      <c r="B65" s="148" t="s">
        <v>113</v>
      </c>
      <c r="C65" s="64" t="s">
        <v>132</v>
      </c>
      <c r="D65" s="65">
        <v>1</v>
      </c>
      <c r="E65" s="64" t="s">
        <v>105</v>
      </c>
      <c r="F65" s="66">
        <f>112605*1.19</f>
        <v>133999.94999999998</v>
      </c>
      <c r="G65" s="66">
        <f t="shared" si="3"/>
        <v>133999.94999999998</v>
      </c>
    </row>
    <row r="66" spans="1:7" ht="12.75" customHeight="1" x14ac:dyDescent="0.25">
      <c r="A66" s="22"/>
      <c r="B66" s="67" t="s">
        <v>32</v>
      </c>
      <c r="C66" s="68"/>
      <c r="D66" s="149"/>
      <c r="E66" s="68"/>
      <c r="F66" s="66"/>
      <c r="G66" s="66"/>
    </row>
    <row r="67" spans="1:7" ht="12.75" customHeight="1" x14ac:dyDescent="0.25">
      <c r="A67" s="22"/>
      <c r="B67" s="148" t="s">
        <v>133</v>
      </c>
      <c r="C67" s="64" t="s">
        <v>33</v>
      </c>
      <c r="D67" s="65">
        <v>2</v>
      </c>
      <c r="E67" s="64" t="s">
        <v>86</v>
      </c>
      <c r="F67" s="66">
        <f>11765*1.19</f>
        <v>14000.349999999999</v>
      </c>
      <c r="G67" s="66">
        <f>(D67*F67)</f>
        <v>28000.699999999997</v>
      </c>
    </row>
    <row r="68" spans="1:7" ht="12.75" customHeight="1" x14ac:dyDescent="0.25">
      <c r="A68" s="22"/>
      <c r="B68" s="148"/>
      <c r="C68" s="64"/>
      <c r="D68" s="65"/>
      <c r="E68" s="64"/>
      <c r="F68" s="66"/>
      <c r="G68" s="66"/>
    </row>
    <row r="69" spans="1:7" ht="12.75" customHeight="1" x14ac:dyDescent="0.25">
      <c r="A69" s="22"/>
      <c r="B69" s="67" t="s">
        <v>94</v>
      </c>
      <c r="C69" s="68"/>
      <c r="D69" s="149"/>
      <c r="E69" s="68"/>
      <c r="F69" s="66"/>
      <c r="G69" s="66"/>
    </row>
    <row r="70" spans="1:7" ht="12.75" customHeight="1" x14ac:dyDescent="0.25">
      <c r="A70" s="22"/>
      <c r="B70" s="141" t="s">
        <v>89</v>
      </c>
      <c r="C70" s="138" t="s">
        <v>100</v>
      </c>
      <c r="D70" s="139">
        <v>1</v>
      </c>
      <c r="E70" s="138" t="s">
        <v>86</v>
      </c>
      <c r="F70" s="66">
        <f>22689*1.19</f>
        <v>26999.91</v>
      </c>
      <c r="G70" s="140">
        <f t="shared" ref="G70:G80" si="4">+F70*D70</f>
        <v>26999.91</v>
      </c>
    </row>
    <row r="71" spans="1:7" ht="12.75" customHeight="1" x14ac:dyDescent="0.25">
      <c r="A71" s="22"/>
      <c r="B71" s="141" t="s">
        <v>90</v>
      </c>
      <c r="C71" s="138" t="s">
        <v>101</v>
      </c>
      <c r="D71" s="139">
        <v>1</v>
      </c>
      <c r="E71" s="138" t="s">
        <v>86</v>
      </c>
      <c r="F71" s="66">
        <v>46000</v>
      </c>
      <c r="G71" s="140">
        <f t="shared" si="4"/>
        <v>46000</v>
      </c>
    </row>
    <row r="72" spans="1:7" ht="12.75" customHeight="1" x14ac:dyDescent="0.25">
      <c r="A72" s="22"/>
      <c r="B72" s="141" t="s">
        <v>91</v>
      </c>
      <c r="C72" s="138" t="s">
        <v>100</v>
      </c>
      <c r="D72" s="139">
        <v>1</v>
      </c>
      <c r="E72" s="138" t="s">
        <v>86</v>
      </c>
      <c r="F72" s="66">
        <f>81429*1.19</f>
        <v>96900.51</v>
      </c>
      <c r="G72" s="140">
        <f t="shared" si="4"/>
        <v>96900.51</v>
      </c>
    </row>
    <row r="73" spans="1:7" ht="12.75" customHeight="1" x14ac:dyDescent="0.25">
      <c r="A73" s="22"/>
      <c r="B73" s="141" t="s">
        <v>92</v>
      </c>
      <c r="C73" s="138" t="s">
        <v>102</v>
      </c>
      <c r="D73" s="139">
        <v>8</v>
      </c>
      <c r="E73" s="138" t="s">
        <v>86</v>
      </c>
      <c r="F73" s="66">
        <v>12599</v>
      </c>
      <c r="G73" s="140">
        <f t="shared" si="4"/>
        <v>100792</v>
      </c>
    </row>
    <row r="74" spans="1:7" ht="12.75" customHeight="1" x14ac:dyDescent="0.25">
      <c r="A74" s="22"/>
      <c r="B74" s="141" t="s">
        <v>93</v>
      </c>
      <c r="C74" s="138" t="s">
        <v>101</v>
      </c>
      <c r="D74" s="139">
        <v>1</v>
      </c>
      <c r="E74" s="138" t="s">
        <v>86</v>
      </c>
      <c r="F74" s="66">
        <f>188403*1.19</f>
        <v>224199.56999999998</v>
      </c>
      <c r="G74" s="140">
        <f t="shared" si="4"/>
        <v>224199.56999999998</v>
      </c>
    </row>
    <row r="75" spans="1:7" ht="12.75" customHeight="1" x14ac:dyDescent="0.25">
      <c r="A75" s="22"/>
      <c r="B75" s="141" t="s">
        <v>134</v>
      </c>
      <c r="C75" s="138" t="s">
        <v>103</v>
      </c>
      <c r="D75" s="139">
        <v>6</v>
      </c>
      <c r="E75" s="138" t="s">
        <v>86</v>
      </c>
      <c r="F75" s="66">
        <f>16807*1.19</f>
        <v>20000.329999999998</v>
      </c>
      <c r="G75" s="140">
        <f t="shared" si="4"/>
        <v>120001.97999999998</v>
      </c>
    </row>
    <row r="76" spans="1:7" ht="12.75" customHeight="1" x14ac:dyDescent="0.25">
      <c r="A76" s="22"/>
      <c r="B76" s="141" t="s">
        <v>135</v>
      </c>
      <c r="C76" s="138" t="s">
        <v>101</v>
      </c>
      <c r="D76" s="139">
        <v>1</v>
      </c>
      <c r="E76" s="138" t="s">
        <v>86</v>
      </c>
      <c r="F76" s="66">
        <f>57310*1.19</f>
        <v>68198.899999999994</v>
      </c>
      <c r="G76" s="140">
        <f t="shared" si="4"/>
        <v>68198.899999999994</v>
      </c>
    </row>
    <row r="77" spans="1:7" ht="12.75" customHeight="1" x14ac:dyDescent="0.25">
      <c r="A77" s="22"/>
      <c r="B77" s="141" t="s">
        <v>95</v>
      </c>
      <c r="C77" s="138" t="s">
        <v>100</v>
      </c>
      <c r="D77" s="139">
        <v>1</v>
      </c>
      <c r="E77" s="138" t="s">
        <v>86</v>
      </c>
      <c r="F77" s="66">
        <v>28000</v>
      </c>
      <c r="G77" s="140">
        <f t="shared" si="4"/>
        <v>28000</v>
      </c>
    </row>
    <row r="78" spans="1:7" ht="12.75" customHeight="1" x14ac:dyDescent="0.25">
      <c r="A78" s="22"/>
      <c r="B78" s="141" t="s">
        <v>96</v>
      </c>
      <c r="C78" s="138" t="s">
        <v>100</v>
      </c>
      <c r="D78" s="139">
        <v>0.5</v>
      </c>
      <c r="E78" s="138" t="s">
        <v>86</v>
      </c>
      <c r="F78" s="66">
        <v>95600</v>
      </c>
      <c r="G78" s="140">
        <f t="shared" si="4"/>
        <v>47800</v>
      </c>
    </row>
    <row r="79" spans="1:7" ht="12.75" customHeight="1" x14ac:dyDescent="0.25">
      <c r="A79" s="22"/>
      <c r="B79" s="141" t="s">
        <v>97</v>
      </c>
      <c r="C79" s="138" t="s">
        <v>101</v>
      </c>
      <c r="D79" s="139">
        <v>1</v>
      </c>
      <c r="E79" s="138" t="s">
        <v>86</v>
      </c>
      <c r="F79" s="66">
        <v>38000</v>
      </c>
      <c r="G79" s="140">
        <f t="shared" si="4"/>
        <v>38000</v>
      </c>
    </row>
    <row r="80" spans="1:7" ht="12.75" customHeight="1" x14ac:dyDescent="0.25">
      <c r="A80" s="22"/>
      <c r="B80" s="69" t="s">
        <v>114</v>
      </c>
      <c r="C80" s="70" t="s">
        <v>100</v>
      </c>
      <c r="D80" s="71">
        <v>2</v>
      </c>
      <c r="E80" s="70" t="s">
        <v>86</v>
      </c>
      <c r="F80" s="66">
        <f>57815*1.19</f>
        <v>68799.849999999991</v>
      </c>
      <c r="G80" s="72">
        <f t="shared" si="4"/>
        <v>137599.69999999998</v>
      </c>
    </row>
    <row r="81" spans="1:7" ht="13.5" customHeight="1" x14ac:dyDescent="0.25">
      <c r="A81" s="5"/>
      <c r="B81" s="73" t="s">
        <v>34</v>
      </c>
      <c r="C81" s="74"/>
      <c r="D81" s="74"/>
      <c r="E81" s="74"/>
      <c r="F81" s="75"/>
      <c r="G81" s="76">
        <f>SUM(G51:G80)</f>
        <v>7645713.0320000006</v>
      </c>
    </row>
    <row r="82" spans="1:7" ht="12" customHeight="1" x14ac:dyDescent="0.25">
      <c r="A82" s="2"/>
      <c r="B82" s="48"/>
      <c r="C82" s="49"/>
      <c r="D82" s="49"/>
      <c r="E82" s="77"/>
      <c r="F82" s="50"/>
      <c r="G82" s="50"/>
    </row>
    <row r="83" spans="1:7" ht="12" customHeight="1" x14ac:dyDescent="0.25">
      <c r="A83" s="5"/>
      <c r="B83" s="37" t="s">
        <v>35</v>
      </c>
      <c r="C83" s="38"/>
      <c r="D83" s="39"/>
      <c r="E83" s="39"/>
      <c r="F83" s="40"/>
      <c r="G83" s="40"/>
    </row>
    <row r="84" spans="1:7" ht="24" customHeight="1" x14ac:dyDescent="0.25">
      <c r="A84" s="5"/>
      <c r="B84" s="51" t="s">
        <v>36</v>
      </c>
      <c r="C84" s="52" t="s">
        <v>27</v>
      </c>
      <c r="D84" s="52" t="s">
        <v>28</v>
      </c>
      <c r="E84" s="51" t="s">
        <v>17</v>
      </c>
      <c r="F84" s="52" t="s">
        <v>18</v>
      </c>
      <c r="G84" s="51" t="s">
        <v>19</v>
      </c>
    </row>
    <row r="85" spans="1:7" ht="12.75" customHeight="1" x14ac:dyDescent="0.25">
      <c r="A85" s="22"/>
      <c r="B85" s="147" t="s">
        <v>115</v>
      </c>
      <c r="C85" s="64" t="s">
        <v>116</v>
      </c>
      <c r="D85" s="78">
        <v>1</v>
      </c>
      <c r="E85" s="30" t="s">
        <v>105</v>
      </c>
      <c r="F85" s="143">
        <v>190749</v>
      </c>
      <c r="G85" s="66">
        <f t="shared" ref="G85:G91" si="5">+F85*D85</f>
        <v>190749</v>
      </c>
    </row>
    <row r="86" spans="1:7" ht="12.75" customHeight="1" x14ac:dyDescent="0.25">
      <c r="A86" s="22"/>
      <c r="B86" s="151" t="s">
        <v>136</v>
      </c>
      <c r="C86" s="64" t="s">
        <v>137</v>
      </c>
      <c r="D86" s="65">
        <f>+(((30*4.2)+(30*4))*4)*0.5</f>
        <v>492</v>
      </c>
      <c r="E86" s="64" t="s">
        <v>125</v>
      </c>
      <c r="F86" s="66">
        <v>490</v>
      </c>
      <c r="G86" s="66">
        <f>+F86*D86</f>
        <v>241080</v>
      </c>
    </row>
    <row r="87" spans="1:7" ht="12.75" customHeight="1" x14ac:dyDescent="0.25">
      <c r="A87" s="22"/>
      <c r="B87" s="151" t="s">
        <v>138</v>
      </c>
      <c r="C87" s="64" t="s">
        <v>137</v>
      </c>
      <c r="D87" s="65">
        <v>89</v>
      </c>
      <c r="E87" s="64" t="s">
        <v>125</v>
      </c>
      <c r="F87" s="66">
        <v>490</v>
      </c>
      <c r="G87" s="66">
        <f>+F87*D87</f>
        <v>43610</v>
      </c>
    </row>
    <row r="88" spans="1:7" ht="12.75" customHeight="1" x14ac:dyDescent="0.25">
      <c r="A88" s="22"/>
      <c r="B88" s="151" t="s">
        <v>139</v>
      </c>
      <c r="C88" s="64" t="s">
        <v>137</v>
      </c>
      <c r="D88" s="65">
        <f>32*3</f>
        <v>96</v>
      </c>
      <c r="E88" s="64" t="s">
        <v>125</v>
      </c>
      <c r="F88" s="66">
        <v>1013</v>
      </c>
      <c r="G88" s="66">
        <f>+F88*D88</f>
        <v>97248</v>
      </c>
    </row>
    <row r="89" spans="1:7" ht="12.75" customHeight="1" x14ac:dyDescent="0.25">
      <c r="A89" s="22"/>
      <c r="B89" s="151" t="s">
        <v>140</v>
      </c>
      <c r="C89" s="64" t="s">
        <v>116</v>
      </c>
      <c r="D89" s="65">
        <v>1</v>
      </c>
      <c r="E89" s="64" t="s">
        <v>117</v>
      </c>
      <c r="F89" s="66">
        <v>65000</v>
      </c>
      <c r="G89" s="66">
        <f t="shared" ref="G89:G90" si="6">+F89*D89</f>
        <v>65000</v>
      </c>
    </row>
    <row r="90" spans="1:7" ht="12.75" customHeight="1" x14ac:dyDescent="0.25">
      <c r="A90" s="22"/>
      <c r="B90" s="141" t="s">
        <v>141</v>
      </c>
      <c r="C90" s="154" t="s">
        <v>142</v>
      </c>
      <c r="D90" s="155">
        <f>30*2*5*5*0.5</f>
        <v>750</v>
      </c>
      <c r="E90" s="154" t="s">
        <v>117</v>
      </c>
      <c r="F90" s="66">
        <f>208250/4250</f>
        <v>49</v>
      </c>
      <c r="G90" s="140">
        <f t="shared" si="6"/>
        <v>36750</v>
      </c>
    </row>
    <row r="91" spans="1:7" ht="12.75" customHeight="1" x14ac:dyDescent="0.25">
      <c r="A91" s="22"/>
      <c r="B91" s="147" t="s">
        <v>118</v>
      </c>
      <c r="C91" s="64" t="s">
        <v>119</v>
      </c>
      <c r="D91" s="66">
        <v>12</v>
      </c>
      <c r="E91" s="30" t="s">
        <v>105</v>
      </c>
      <c r="F91" s="143">
        <v>10000</v>
      </c>
      <c r="G91" s="66">
        <f t="shared" si="5"/>
        <v>120000</v>
      </c>
    </row>
    <row r="92" spans="1:7" ht="25.15" customHeight="1" x14ac:dyDescent="0.25">
      <c r="A92" s="22"/>
      <c r="B92" s="147" t="s">
        <v>143</v>
      </c>
      <c r="C92" s="64" t="s">
        <v>80</v>
      </c>
      <c r="D92" s="66">
        <f>90*32*4*4/1000*0.5</f>
        <v>23.04</v>
      </c>
      <c r="E92" s="30" t="s">
        <v>81</v>
      </c>
      <c r="F92" s="143">
        <f>5.1*850*1.19</f>
        <v>5158.6499999999996</v>
      </c>
      <c r="G92" s="66">
        <f>(D92*F92)</f>
        <v>118855.29599999999</v>
      </c>
    </row>
    <row r="93" spans="1:7" ht="12.75" customHeight="1" x14ac:dyDescent="0.25">
      <c r="A93" s="22"/>
      <c r="B93" s="147" t="s">
        <v>98</v>
      </c>
      <c r="C93" s="64" t="s">
        <v>104</v>
      </c>
      <c r="D93" s="66">
        <v>1</v>
      </c>
      <c r="E93" s="30" t="s">
        <v>105</v>
      </c>
      <c r="F93" s="143">
        <f>480000*1.19</f>
        <v>571200</v>
      </c>
      <c r="G93" s="66">
        <f>+F93*D93</f>
        <v>571200</v>
      </c>
    </row>
    <row r="94" spans="1:7" ht="13.5" customHeight="1" x14ac:dyDescent="0.25">
      <c r="A94" s="5"/>
      <c r="B94" s="79" t="s">
        <v>37</v>
      </c>
      <c r="C94" s="80"/>
      <c r="D94" s="80"/>
      <c r="E94" s="80"/>
      <c r="F94" s="81"/>
      <c r="G94" s="82">
        <f>SUM(G85:G93)</f>
        <v>1484492.2960000001</v>
      </c>
    </row>
    <row r="95" spans="1:7" ht="12" customHeight="1" x14ac:dyDescent="0.25">
      <c r="A95" s="2"/>
      <c r="B95" s="99"/>
      <c r="C95" s="99"/>
      <c r="D95" s="99"/>
      <c r="E95" s="99"/>
      <c r="F95" s="100"/>
      <c r="G95" s="100"/>
    </row>
    <row r="96" spans="1:7" ht="12" customHeight="1" x14ac:dyDescent="0.25">
      <c r="A96" s="96"/>
      <c r="B96" s="101" t="s">
        <v>38</v>
      </c>
      <c r="C96" s="102"/>
      <c r="D96" s="102"/>
      <c r="E96" s="102"/>
      <c r="F96" s="102"/>
      <c r="G96" s="103">
        <f>G36+G47+G81+G94</f>
        <v>15623205.328000002</v>
      </c>
    </row>
    <row r="97" spans="1:9" ht="12" customHeight="1" x14ac:dyDescent="0.25">
      <c r="A97" s="96"/>
      <c r="B97" s="104" t="s">
        <v>39</v>
      </c>
      <c r="C97" s="84"/>
      <c r="D97" s="84"/>
      <c r="E97" s="84"/>
      <c r="F97" s="84"/>
      <c r="G97" s="105">
        <f>G96*0.05</f>
        <v>781160.26640000008</v>
      </c>
    </row>
    <row r="98" spans="1:9" ht="12" customHeight="1" x14ac:dyDescent="0.25">
      <c r="A98" s="96"/>
      <c r="B98" s="106" t="s">
        <v>40</v>
      </c>
      <c r="C98" s="83"/>
      <c r="D98" s="83"/>
      <c r="E98" s="83"/>
      <c r="F98" s="83"/>
      <c r="G98" s="107">
        <f>G97+G96</f>
        <v>16404365.594400002</v>
      </c>
    </row>
    <row r="99" spans="1:9" ht="12" customHeight="1" x14ac:dyDescent="0.25">
      <c r="A99" s="96"/>
      <c r="B99" s="104" t="s">
        <v>41</v>
      </c>
      <c r="C99" s="84"/>
      <c r="D99" s="84"/>
      <c r="E99" s="84"/>
      <c r="F99" s="84"/>
      <c r="G99" s="105">
        <f>+D123*G11</f>
        <v>33024000</v>
      </c>
    </row>
    <row r="100" spans="1:9" ht="12" customHeight="1" x14ac:dyDescent="0.25">
      <c r="A100" s="96"/>
      <c r="B100" s="108" t="s">
        <v>42</v>
      </c>
      <c r="C100" s="109"/>
      <c r="D100" s="109"/>
      <c r="E100" s="109"/>
      <c r="F100" s="109"/>
      <c r="G100" s="110">
        <f>G99-G98</f>
        <v>16619634.405599998</v>
      </c>
      <c r="H100" s="142"/>
      <c r="I100" s="142"/>
    </row>
    <row r="101" spans="1:9" ht="12" customHeight="1" x14ac:dyDescent="0.25">
      <c r="A101" s="96"/>
      <c r="B101" s="97" t="s">
        <v>43</v>
      </c>
      <c r="C101" s="98"/>
      <c r="D101" s="98"/>
      <c r="E101" s="98"/>
      <c r="F101" s="98"/>
      <c r="G101" s="93"/>
      <c r="I101" s="142"/>
    </row>
    <row r="102" spans="1:9" ht="12.75" customHeight="1" thickBot="1" x14ac:dyDescent="0.3">
      <c r="A102" s="96"/>
      <c r="B102" s="111"/>
      <c r="C102" s="98"/>
      <c r="D102" s="98"/>
      <c r="E102" s="98"/>
      <c r="F102" s="98"/>
      <c r="G102" s="93"/>
    </row>
    <row r="103" spans="1:9" ht="12" customHeight="1" x14ac:dyDescent="0.25">
      <c r="A103" s="96"/>
      <c r="B103" s="123" t="s">
        <v>44</v>
      </c>
      <c r="C103" s="124"/>
      <c r="D103" s="124"/>
      <c r="E103" s="124"/>
      <c r="F103" s="125"/>
      <c r="G103" s="93"/>
    </row>
    <row r="104" spans="1:9" ht="12" customHeight="1" x14ac:dyDescent="0.25">
      <c r="A104" s="96"/>
      <c r="B104" s="126" t="s">
        <v>45</v>
      </c>
      <c r="C104" s="95"/>
      <c r="D104" s="95"/>
      <c r="E104" s="95"/>
      <c r="F104" s="127"/>
      <c r="G104" s="93"/>
    </row>
    <row r="105" spans="1:9" ht="12" customHeight="1" x14ac:dyDescent="0.25">
      <c r="A105" s="96"/>
      <c r="B105" s="126" t="s">
        <v>46</v>
      </c>
      <c r="C105" s="95"/>
      <c r="D105" s="95"/>
      <c r="E105" s="95"/>
      <c r="F105" s="127"/>
      <c r="G105" s="93"/>
    </row>
    <row r="106" spans="1:9" ht="12" customHeight="1" x14ac:dyDescent="0.25">
      <c r="A106" s="96"/>
      <c r="B106" s="126" t="s">
        <v>47</v>
      </c>
      <c r="C106" s="95"/>
      <c r="D106" s="95"/>
      <c r="E106" s="95"/>
      <c r="F106" s="127"/>
      <c r="G106" s="93"/>
    </row>
    <row r="107" spans="1:9" ht="12" customHeight="1" x14ac:dyDescent="0.25">
      <c r="A107" s="96"/>
      <c r="B107" s="126" t="s">
        <v>48</v>
      </c>
      <c r="C107" s="95"/>
      <c r="D107" s="95"/>
      <c r="E107" s="95"/>
      <c r="F107" s="127"/>
      <c r="G107" s="93"/>
    </row>
    <row r="108" spans="1:9" ht="12" customHeight="1" x14ac:dyDescent="0.25">
      <c r="A108" s="96"/>
      <c r="B108" s="126" t="s">
        <v>49</v>
      </c>
      <c r="C108" s="95"/>
      <c r="D108" s="95"/>
      <c r="E108" s="95"/>
      <c r="F108" s="127"/>
      <c r="G108" s="93"/>
    </row>
    <row r="109" spans="1:9" ht="12.75" customHeight="1" thickBot="1" x14ac:dyDescent="0.3">
      <c r="A109" s="96"/>
      <c r="B109" s="128" t="s">
        <v>50</v>
      </c>
      <c r="C109" s="129"/>
      <c r="D109" s="129"/>
      <c r="E109" s="129"/>
      <c r="F109" s="130"/>
      <c r="G109" s="93"/>
    </row>
    <row r="110" spans="1:9" ht="12.75" customHeight="1" x14ac:dyDescent="0.25">
      <c r="A110" s="96"/>
      <c r="B110" s="121"/>
      <c r="C110" s="95"/>
      <c r="D110" s="95"/>
      <c r="E110" s="95"/>
      <c r="F110" s="95"/>
      <c r="G110" s="93"/>
    </row>
    <row r="111" spans="1:9" ht="15" customHeight="1" thickBot="1" x14ac:dyDescent="0.3">
      <c r="A111" s="96"/>
      <c r="B111" s="158" t="s">
        <v>51</v>
      </c>
      <c r="C111" s="159"/>
      <c r="D111" s="120"/>
      <c r="E111" s="86"/>
      <c r="F111" s="86"/>
      <c r="G111" s="93"/>
    </row>
    <row r="112" spans="1:9" ht="12" customHeight="1" x14ac:dyDescent="0.25">
      <c r="A112" s="96"/>
      <c r="B112" s="113" t="s">
        <v>36</v>
      </c>
      <c r="C112" s="87" t="s">
        <v>120</v>
      </c>
      <c r="D112" s="114" t="s">
        <v>52</v>
      </c>
      <c r="E112" s="86"/>
      <c r="F112" s="86"/>
      <c r="G112" s="93"/>
    </row>
    <row r="113" spans="1:7" ht="12" customHeight="1" x14ac:dyDescent="0.25">
      <c r="A113" s="96"/>
      <c r="B113" s="115" t="s">
        <v>53</v>
      </c>
      <c r="C113" s="88">
        <f>+G36</f>
        <v>6385000</v>
      </c>
      <c r="D113" s="116">
        <f>(C113/C119)</f>
        <v>0.3892256584539705</v>
      </c>
      <c r="E113" s="86"/>
      <c r="F113" s="86"/>
      <c r="G113" s="93"/>
    </row>
    <row r="114" spans="1:7" ht="12" customHeight="1" x14ac:dyDescent="0.25">
      <c r="A114" s="96"/>
      <c r="B114" s="115" t="s">
        <v>54</v>
      </c>
      <c r="C114" s="89">
        <v>0</v>
      </c>
      <c r="D114" s="116">
        <v>0</v>
      </c>
      <c r="E114" s="86"/>
      <c r="F114" s="86"/>
      <c r="G114" s="93"/>
    </row>
    <row r="115" spans="1:7" ht="12" customHeight="1" x14ac:dyDescent="0.25">
      <c r="A115" s="96"/>
      <c r="B115" s="115" t="s">
        <v>55</v>
      </c>
      <c r="C115" s="88">
        <f>+G47</f>
        <v>108000</v>
      </c>
      <c r="D115" s="116">
        <f>(C115/C119)</f>
        <v>6.5836133301532991E-3</v>
      </c>
      <c r="E115" s="86"/>
      <c r="F115" s="86"/>
      <c r="G115" s="93"/>
    </row>
    <row r="116" spans="1:7" ht="12" customHeight="1" x14ac:dyDescent="0.25">
      <c r="A116" s="96"/>
      <c r="B116" s="115" t="s">
        <v>26</v>
      </c>
      <c r="C116" s="88">
        <f>+G81</f>
        <v>7645713.0320000006</v>
      </c>
      <c r="D116" s="116">
        <f>(C116/C119)</f>
        <v>0.46607794662964819</v>
      </c>
      <c r="E116" s="86"/>
      <c r="F116" s="86"/>
      <c r="G116" s="93"/>
    </row>
    <row r="117" spans="1:7" ht="12" customHeight="1" x14ac:dyDescent="0.25">
      <c r="A117" s="96"/>
      <c r="B117" s="115" t="s">
        <v>56</v>
      </c>
      <c r="C117" s="90">
        <f>+G94</f>
        <v>1484492.2960000001</v>
      </c>
      <c r="D117" s="116">
        <f>(C117/C119)</f>
        <v>9.0493733967180343E-2</v>
      </c>
      <c r="E117" s="92"/>
      <c r="F117" s="92"/>
      <c r="G117" s="93"/>
    </row>
    <row r="118" spans="1:7" ht="12" customHeight="1" x14ac:dyDescent="0.25">
      <c r="A118" s="96"/>
      <c r="B118" s="115" t="s">
        <v>57</v>
      </c>
      <c r="C118" s="90">
        <f>+G97</f>
        <v>781160.26640000008</v>
      </c>
      <c r="D118" s="116">
        <f>(C118/C119)</f>
        <v>4.7619047619047616E-2</v>
      </c>
      <c r="E118" s="92"/>
      <c r="F118" s="92"/>
      <c r="G118" s="93"/>
    </row>
    <row r="119" spans="1:7" ht="12.75" customHeight="1" thickBot="1" x14ac:dyDescent="0.3">
      <c r="A119" s="96"/>
      <c r="B119" s="117" t="s">
        <v>58</v>
      </c>
      <c r="C119" s="118">
        <f>SUM(C113:C118)</f>
        <v>16404365.594400002</v>
      </c>
      <c r="D119" s="119">
        <f>SUM(D113:D118)</f>
        <v>1</v>
      </c>
      <c r="E119" s="92"/>
      <c r="F119" s="92"/>
      <c r="G119" s="93"/>
    </row>
    <row r="120" spans="1:7" ht="12" customHeight="1" x14ac:dyDescent="0.25">
      <c r="A120" s="96"/>
      <c r="B120" s="111"/>
      <c r="C120" s="98"/>
      <c r="D120" s="98"/>
      <c r="E120" s="98"/>
      <c r="F120" s="98"/>
      <c r="G120" s="93"/>
    </row>
    <row r="121" spans="1:7" ht="12.75" customHeight="1" x14ac:dyDescent="0.25">
      <c r="A121" s="96"/>
      <c r="B121" s="112"/>
      <c r="C121" s="98"/>
      <c r="D121" s="98"/>
      <c r="E121" s="98"/>
      <c r="F121" s="98"/>
      <c r="G121" s="93"/>
    </row>
    <row r="122" spans="1:7" ht="12" customHeight="1" thickBot="1" x14ac:dyDescent="0.3">
      <c r="A122" s="85"/>
      <c r="B122" s="132"/>
      <c r="C122" s="133" t="s">
        <v>121</v>
      </c>
      <c r="D122" s="134"/>
      <c r="E122" s="135"/>
      <c r="F122" s="91"/>
      <c r="G122" s="93"/>
    </row>
    <row r="123" spans="1:7" ht="12" customHeight="1" x14ac:dyDescent="0.25">
      <c r="A123" s="96"/>
      <c r="B123" s="136" t="s">
        <v>122</v>
      </c>
      <c r="C123" s="144">
        <f>18*(860*4)</f>
        <v>61920</v>
      </c>
      <c r="D123" s="144">
        <f>24*(860*4)</f>
        <v>82560</v>
      </c>
      <c r="E123" s="145">
        <f>30*(860*4)</f>
        <v>103200</v>
      </c>
      <c r="F123" s="131"/>
      <c r="G123" s="94"/>
    </row>
    <row r="124" spans="1:7" ht="12.75" customHeight="1" thickBot="1" x14ac:dyDescent="0.3">
      <c r="A124" s="96"/>
      <c r="B124" s="117" t="s">
        <v>106</v>
      </c>
      <c r="C124" s="118">
        <f>(G98/C123)</f>
        <v>264.92838492248063</v>
      </c>
      <c r="D124" s="118">
        <f>(G98/D123)</f>
        <v>198.69628869186047</v>
      </c>
      <c r="E124" s="137">
        <f>(G98/E123)</f>
        <v>158.95703095348838</v>
      </c>
      <c r="F124" s="131"/>
      <c r="G124" s="94"/>
    </row>
    <row r="125" spans="1:7" ht="15.6" customHeight="1" x14ac:dyDescent="0.25">
      <c r="A125" s="96"/>
      <c r="B125" s="122" t="s">
        <v>59</v>
      </c>
      <c r="C125" s="95"/>
      <c r="D125" s="95"/>
      <c r="E125" s="95"/>
      <c r="F125" s="95"/>
      <c r="G125" s="95"/>
    </row>
  </sheetData>
  <mergeCells count="8">
    <mergeCell ref="B17:G17"/>
    <mergeCell ref="B111:C111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0DAB97-487B-49C7-B469-6B53DEEA8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DA3454-D065-475C-803C-85769463458D}">
  <ds:schemaRefs>
    <ds:schemaRef ds:uri="http://schemas.microsoft.com/office/2006/documentManagement/types"/>
    <ds:schemaRef ds:uri="1030f0af-99cb-42f1-88fc-acec73331192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c5dbce2d-49dc-4afe-a5b0-d7fb7a901161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34E84A5-6BBE-4D3D-8A1A-976B355287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Gerberas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2023-05-03T14:24:35Z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