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A LIGUA\"/>
    </mc:Choice>
  </mc:AlternateContent>
  <bookViews>
    <workbookView xWindow="0" yWindow="0" windowWidth="28800" windowHeight="11475" firstSheet="2" activeTab="2"/>
  </bookViews>
  <sheets>
    <sheet name="Lechuga" sheetId="1" state="hidden" r:id="rId1"/>
    <sheet name="Hoja2" sheetId="2" state="hidden" r:id="rId2"/>
    <sheet name="Lechuga (Aire Libre)" sheetId="3" r:id="rId3"/>
  </sheets>
  <definedNames>
    <definedName name="_xlnm.Print_Area" localSheetId="0">Lechuga!$B$7:$G$80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3" l="1"/>
  <c r="F35" i="3"/>
  <c r="F19" i="3"/>
  <c r="G47" i="3" l="1"/>
  <c r="F48" i="3"/>
  <c r="G51" i="3"/>
  <c r="F53" i="3"/>
  <c r="F55" i="3"/>
  <c r="G56" i="3"/>
  <c r="F58" i="3"/>
  <c r="G59" i="3"/>
  <c r="G46" i="3"/>
  <c r="D94" i="3"/>
  <c r="G65" i="3"/>
  <c r="G60" i="3"/>
  <c r="G57" i="3"/>
  <c r="G54" i="3"/>
  <c r="G52" i="3"/>
  <c r="G50" i="3"/>
  <c r="G49" i="3"/>
  <c r="G41" i="3"/>
  <c r="G40" i="3"/>
  <c r="G35" i="3"/>
  <c r="G36" i="3" s="1"/>
  <c r="C85" i="3" s="1"/>
  <c r="G30" i="3"/>
  <c r="G29" i="3"/>
  <c r="G28" i="3"/>
  <c r="G27" i="3"/>
  <c r="G26" i="3"/>
  <c r="G25" i="3"/>
  <c r="G24" i="3"/>
  <c r="G23" i="3"/>
  <c r="G22" i="3"/>
  <c r="G21" i="3"/>
  <c r="G20" i="3"/>
  <c r="G19" i="3"/>
  <c r="G10" i="3"/>
  <c r="G71" i="3" s="1"/>
  <c r="G61" i="3" l="1"/>
  <c r="C87" i="3" s="1"/>
  <c r="G42" i="3"/>
  <c r="C86" i="3" s="1"/>
  <c r="G66" i="3"/>
  <c r="C88" i="3"/>
  <c r="G31" i="3"/>
  <c r="C84" i="3" s="1"/>
  <c r="D94" i="1"/>
  <c r="G68" i="3" l="1"/>
  <c r="G69" i="3" s="1"/>
  <c r="C95" i="3" s="1"/>
  <c r="G46" i="1"/>
  <c r="D95" i="3" l="1"/>
  <c r="C89" i="3"/>
  <c r="C90" i="3" s="1"/>
  <c r="D84" i="3" s="1"/>
  <c r="G70" i="3"/>
  <c r="G72" i="3" s="1"/>
  <c r="E95" i="3"/>
  <c r="F65" i="1"/>
  <c r="F60" i="1"/>
  <c r="F59" i="1"/>
  <c r="F56" i="1"/>
  <c r="F54" i="1"/>
  <c r="F52" i="1"/>
  <c r="F50" i="1"/>
  <c r="F49" i="1"/>
  <c r="F47" i="1"/>
  <c r="F35" i="1"/>
  <c r="F30" i="1"/>
  <c r="F29" i="1"/>
  <c r="F24" i="1"/>
  <c r="F25" i="1"/>
  <c r="F26" i="1"/>
  <c r="F27" i="1"/>
  <c r="F28" i="1"/>
  <c r="F23" i="1"/>
  <c r="F22" i="1"/>
  <c r="F20" i="1"/>
  <c r="F21" i="1"/>
  <c r="F19" i="1"/>
  <c r="D89" i="3" l="1"/>
  <c r="D87" i="3"/>
  <c r="D88" i="3"/>
  <c r="D86" i="3"/>
  <c r="S5" i="2"/>
  <c r="T5" i="2" s="1"/>
  <c r="S6" i="2"/>
  <c r="T6" i="2" s="1"/>
  <c r="S7" i="2"/>
  <c r="T7" i="2" s="1"/>
  <c r="S8" i="2"/>
  <c r="T8" i="2" s="1"/>
  <c r="S9" i="2"/>
  <c r="T9" i="2" s="1"/>
  <c r="S10" i="2"/>
  <c r="T10" i="2" s="1"/>
  <c r="S11" i="2"/>
  <c r="T11" i="2" s="1"/>
  <c r="S12" i="2"/>
  <c r="T12" i="2" s="1"/>
  <c r="S13" i="2"/>
  <c r="T13" i="2" s="1"/>
  <c r="S4" i="2"/>
  <c r="T4" i="2" s="1"/>
  <c r="L4" i="2"/>
  <c r="M4" i="2" s="1"/>
  <c r="S17" i="2"/>
  <c r="S16" i="2"/>
  <c r="S15" i="2"/>
  <c r="S14" i="2"/>
  <c r="M5" i="2"/>
  <c r="M7" i="2"/>
  <c r="M9" i="2"/>
  <c r="M11" i="2"/>
  <c r="M13" i="2"/>
  <c r="M15" i="2"/>
  <c r="M17" i="2"/>
  <c r="L5" i="2"/>
  <c r="L6" i="2"/>
  <c r="M6" i="2" s="1"/>
  <c r="L7" i="2"/>
  <c r="L8" i="2"/>
  <c r="M8" i="2" s="1"/>
  <c r="L9" i="2"/>
  <c r="L10" i="2"/>
  <c r="M10" i="2" s="1"/>
  <c r="L11" i="2"/>
  <c r="L12" i="2"/>
  <c r="M12" i="2" s="1"/>
  <c r="L13" i="2"/>
  <c r="L14" i="2"/>
  <c r="M14" i="2" s="1"/>
  <c r="L15" i="2"/>
  <c r="L16" i="2"/>
  <c r="M16" i="2" s="1"/>
  <c r="L17" i="2"/>
  <c r="D90" i="3" l="1"/>
  <c r="G65" i="1"/>
  <c r="G60" i="1"/>
  <c r="G59" i="1"/>
  <c r="G57" i="1"/>
  <c r="G56" i="1"/>
  <c r="G54" i="1"/>
  <c r="G52" i="1"/>
  <c r="G51" i="1"/>
  <c r="G50" i="1"/>
  <c r="G49" i="1"/>
  <c r="G47" i="1"/>
  <c r="G61" i="1" s="1"/>
  <c r="C87" i="1" s="1"/>
  <c r="G41" i="1"/>
  <c r="G40" i="1"/>
  <c r="G35" i="1"/>
  <c r="G36" i="1" s="1"/>
  <c r="C85" i="1" s="1"/>
  <c r="G30" i="1"/>
  <c r="G29" i="1"/>
  <c r="G28" i="1"/>
  <c r="G27" i="1"/>
  <c r="G26" i="1"/>
  <c r="G25" i="1"/>
  <c r="G24" i="1"/>
  <c r="G23" i="1"/>
  <c r="G22" i="1"/>
  <c r="G21" i="1"/>
  <c r="G20" i="1"/>
  <c r="G19" i="1"/>
  <c r="G10" i="1"/>
  <c r="G71" i="1" s="1"/>
  <c r="C88" i="1" l="1"/>
  <c r="G66" i="1"/>
  <c r="G31" i="1"/>
  <c r="C84" i="1" s="1"/>
  <c r="G42" i="1"/>
  <c r="C86" i="1" s="1"/>
  <c r="G68" i="1" l="1"/>
  <c r="G69" i="1" s="1"/>
  <c r="C89" i="1" s="1"/>
  <c r="C90" i="1" s="1"/>
  <c r="G70" i="1"/>
  <c r="G72" i="1" s="1"/>
  <c r="D95" i="1"/>
  <c r="C95" i="1"/>
  <c r="E95" i="1"/>
  <c r="D89" i="1" l="1"/>
  <c r="D84" i="1"/>
  <c r="D88" i="1"/>
  <c r="D87" i="1"/>
  <c r="D86" i="1"/>
  <c r="D90" i="1" l="1"/>
</calcChain>
</file>

<file path=xl/sharedStrings.xml><?xml version="1.0" encoding="utf-8"?>
<sst xmlns="http://schemas.openxmlformats.org/spreadsheetml/2006/main" count="379" uniqueCount="121">
  <si>
    <t>RUBRO O CULTIVO</t>
  </si>
  <si>
    <t>LECHUGA</t>
  </si>
  <si>
    <t>VARIEDAD</t>
  </si>
  <si>
    <t>FECHA ESTIMADA  PRECIO VENTA</t>
  </si>
  <si>
    <t>NIVEL TECNOLÓGICO</t>
  </si>
  <si>
    <t>MEDIO</t>
  </si>
  <si>
    <t>PRECIO ESPERADO ($/u)</t>
  </si>
  <si>
    <t>REGIÓN</t>
  </si>
  <si>
    <t>VALPARAISO</t>
  </si>
  <si>
    <t>INGRESO ESPERADO, CON IVA ($)</t>
  </si>
  <si>
    <t>ÁREA</t>
  </si>
  <si>
    <t>LA LIGUA</t>
  </si>
  <si>
    <t>DESTINO PRODUCCIÓN</t>
  </si>
  <si>
    <t>MERCADO INTERNO</t>
  </si>
  <si>
    <t>COMUNA/LOCALIDAD</t>
  </si>
  <si>
    <t>CABILDO</t>
  </si>
  <si>
    <t>FECHA DE COSECHA</t>
  </si>
  <si>
    <t>JUNIO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</si>
  <si>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</si>
  <si>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</si>
  <si>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</si>
  <si>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</si>
  <si>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</si>
  <si>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</si>
  <si>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</si>
  <si>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</t>
  </si>
  <si>
    <t xml:space="preserve"> Precio Unitario ($) </t>
  </si>
  <si>
    <t xml:space="preserve"> Sub Total ($) </t>
  </si>
  <si>
    <t>Tirado de cintas</t>
  </si>
  <si>
    <t>JH</t>
  </si>
  <si>
    <t>Septiembre</t>
  </si>
  <si>
    <t>Aplicación herbicidas</t>
  </si>
  <si>
    <t>Riego pre transplante</t>
  </si>
  <si>
    <t>Transplante</t>
  </si>
  <si>
    <t>Riego post transplante</t>
  </si>
  <si>
    <t>Aplicación fitosanitaria</t>
  </si>
  <si>
    <t>Riegos</t>
  </si>
  <si>
    <t>Limpia manual</t>
  </si>
  <si>
    <t>Sep-Nov</t>
  </si>
  <si>
    <t>Octubre</t>
  </si>
  <si>
    <t>Ligado</t>
  </si>
  <si>
    <t>Noviembre</t>
  </si>
  <si>
    <t>Corta, embalaje y carga</t>
  </si>
  <si>
    <t>Subtotal Jornadas Hombre</t>
  </si>
  <si>
    <t>JORNADAS ANIMAL</t>
  </si>
  <si>
    <t>Cultivadora</t>
  </si>
  <si>
    <t>JA</t>
  </si>
  <si>
    <t>Subtotal Jornadas Animal</t>
  </si>
  <si>
    <t>MAQUINARIA</t>
  </si>
  <si>
    <t xml:space="preserve">Aradura </t>
  </si>
  <si>
    <t>JM</t>
  </si>
  <si>
    <t>Rastrajes</t>
  </si>
  <si>
    <t>Subtotal Costo Maquinaria</t>
  </si>
  <si>
    <t>INSUMOS</t>
  </si>
  <si>
    <t>Insumos</t>
  </si>
  <si>
    <t>Unidad (Kg/l/u)</t>
  </si>
  <si>
    <t>Cantidad (Kg/l/u)</t>
  </si>
  <si>
    <t>PLANTINES (Speedling)</t>
  </si>
  <si>
    <t>u</t>
  </si>
  <si>
    <t>FERTILIZANTES</t>
  </si>
  <si>
    <t>Urea (Unidades de N)</t>
  </si>
  <si>
    <t>Kg.</t>
  </si>
  <si>
    <t>Sep-Oct</t>
  </si>
  <si>
    <t>Ácido fofórico</t>
  </si>
  <si>
    <t>35 Kg.</t>
  </si>
  <si>
    <t>Nitrato de potasio</t>
  </si>
  <si>
    <t>Nitrato de calcio</t>
  </si>
  <si>
    <t>INSECTICIDA</t>
  </si>
  <si>
    <t>l</t>
  </si>
  <si>
    <t>FUNGICIDA</t>
  </si>
  <si>
    <t>kg</t>
  </si>
  <si>
    <t>HERBICIDA</t>
  </si>
  <si>
    <t>Pendimetalin 33%</t>
  </si>
  <si>
    <t>Oxifluorfen 24%</t>
  </si>
  <si>
    <t>Subtotal Insumos</t>
  </si>
  <si>
    <t>OTROS</t>
  </si>
  <si>
    <t>Item</t>
  </si>
  <si>
    <t>Época (Mes)</t>
  </si>
  <si>
    <t>Energía eléctrica riego tenificado</t>
  </si>
  <si>
    <t>Global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</si>
  <si>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</si>
  <si>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</si>
  <si>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</si>
  <si>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</si>
  <si>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</si>
  <si>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</si>
  <si>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</si>
  <si>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</si>
  <si>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IVA.</t>
  </si>
  <si>
    <t>2.  Precio de Insumos corresponde a  precios  en distribuidor local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</si>
  <si>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</si>
  <si>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</si>
  <si>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</si>
  <si>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</si>
  <si>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COSTINA</t>
  </si>
  <si>
    <t>Kg</t>
  </si>
  <si>
    <t>Engeo</t>
  </si>
  <si>
    <t>Switch</t>
  </si>
  <si>
    <t>Amistar opti</t>
  </si>
  <si>
    <t>Lts</t>
  </si>
  <si>
    <t>GRAVE SEQUÍA</t>
  </si>
  <si>
    <t>Compra de agua</t>
  </si>
  <si>
    <t>m³</t>
  </si>
  <si>
    <t>Diciembre-Mayo</t>
  </si>
  <si>
    <t>Todo el año</t>
  </si>
  <si>
    <t>RENDIMIENTO (Unidades/ha)</t>
  </si>
  <si>
    <t xml:space="preserve"> 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</si>
  <si>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</si>
  <si>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</si>
  <si>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</si>
  <si>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</si>
  <si>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</si>
  <si>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</si>
  <si>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</si>
  <si>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</si>
  <si>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</si>
  <si>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</si>
  <si>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</si>
  <si>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</si>
  <si>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CABILDO - LA LIGUA</t>
  </si>
  <si>
    <t>GRAVE SEQUÍA, HELADAS, ALZA DE PRECIO DE INSUMOS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</si>
</sst>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_ ;_ * \-#,##0_ ;_ * &quot;-&quot;_ ;_ @_ "/>
    <numFmt numFmtId="165" formatCode="mmmm/yy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Calibri"/>
      <family val="2"/>
    </font>
    <font>
      <sz val="11"/>
      <color theme="1"/>
      <name val="Calibri"/>
      <family val="2"/>
    </font>
    <font>
      <b/>
      <sz val="7"/>
      <color rgb="FFFFFFFF"/>
      <name val="Calibri"/>
      <family val="2"/>
    </font>
    <font>
      <sz val="7"/>
      <name val="Calibri"/>
      <family val="2"/>
    </font>
    <font>
      <b/>
      <i/>
      <sz val="9"/>
      <color rgb="FFFFFFFF"/>
      <name val="Calibri"/>
      <family val="2"/>
    </font>
    <font>
      <b/>
      <i/>
      <sz val="7"/>
      <color rgb="FF000000"/>
      <name val="Calibri"/>
      <family val="2"/>
    </font>
    <font>
      <b/>
      <sz val="7"/>
      <color rgb="FF000000"/>
      <name val="Calibri"/>
      <family val="2"/>
    </font>
    <font>
      <b/>
      <sz val="7"/>
      <name val="Calibri"/>
      <family val="2"/>
    </font>
    <font>
      <sz val="7"/>
      <color indexed="8"/>
      <name val="Calibri"/>
      <family val="2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sz val="9"/>
      <color rgb="FF000000"/>
      <name val="Calibri"/>
      <family val="2"/>
    </font>
    <font>
      <sz val="8"/>
      <color rgb="FFFFFFFF"/>
      <name val="Arial Narrow"/>
      <family val="2"/>
    </font>
    <font>
      <sz val="9"/>
      <color rgb="FFFFFFFF"/>
      <name val="Arial Narrow"/>
      <family val="2"/>
    </font>
    <font>
      <b/>
      <sz val="7"/>
      <color rgb="FFFEFEFE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3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14" fontId="2" fillId="2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/>
    <xf numFmtId="2" fontId="0" fillId="0" borderId="0" xfId="0" applyNumberFormat="1"/>
    <xf numFmtId="1" fontId="0" fillId="0" borderId="0" xfId="0" applyNumberFormat="1"/>
    <xf numFmtId="3" fontId="0" fillId="0" borderId="0" xfId="0" applyNumberFormat="1"/>
    <xf numFmtId="3" fontId="8" fillId="0" borderId="1" xfId="0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49" fontId="11" fillId="3" borderId="6" xfId="0" applyNumberFormat="1" applyFont="1" applyFill="1" applyBorder="1" applyAlignment="1">
      <alignment vertical="center" wrapText="1"/>
    </xf>
    <xf numFmtId="49" fontId="11" fillId="5" borderId="8" xfId="0" applyNumberFormat="1" applyFont="1" applyFill="1" applyBorder="1" applyAlignment="1">
      <alignment vertical="center"/>
    </xf>
    <xf numFmtId="0" fontId="13" fillId="6" borderId="9" xfId="0" applyFont="1" applyFill="1" applyBorder="1" applyAlignment="1">
      <alignment vertical="center"/>
    </xf>
    <xf numFmtId="0" fontId="13" fillId="6" borderId="10" xfId="0" applyFont="1" applyFill="1" applyBorder="1" applyAlignment="1">
      <alignment vertical="center"/>
    </xf>
    <xf numFmtId="0" fontId="13" fillId="6" borderId="10" xfId="0" applyFont="1" applyFill="1" applyBorder="1" applyAlignment="1">
      <alignment horizontal="right" vertical="center"/>
    </xf>
    <xf numFmtId="49" fontId="11" fillId="3" borderId="7" xfId="0" applyNumberFormat="1" applyFont="1" applyFill="1" applyBorder="1" applyAlignment="1">
      <alignment horizontal="center" vertical="center" wrapText="1"/>
    </xf>
    <xf numFmtId="49" fontId="14" fillId="3" borderId="7" xfId="0" applyNumberFormat="1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3" fontId="14" fillId="3" borderId="7" xfId="0" applyNumberFormat="1" applyFont="1" applyFill="1" applyBorder="1" applyAlignment="1">
      <alignment horizontal="center" vertical="center"/>
    </xf>
    <xf numFmtId="49" fontId="11" fillId="5" borderId="5" xfId="0" applyNumberFormat="1" applyFont="1" applyFill="1" applyBorder="1" applyAlignment="1">
      <alignment vertical="center"/>
    </xf>
    <xf numFmtId="0" fontId="13" fillId="6" borderId="11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vertical="center"/>
    </xf>
    <xf numFmtId="0" fontId="13" fillId="6" borderId="12" xfId="0" applyFont="1" applyFill="1" applyBorder="1" applyAlignment="1">
      <alignment horizontal="right" vertical="center"/>
    </xf>
    <xf numFmtId="49" fontId="11" fillId="3" borderId="5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49" fontId="11" fillId="3" borderId="8" xfId="0" applyNumberFormat="1" applyFont="1" applyFill="1" applyBorder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 wrapText="1"/>
    </xf>
    <xf numFmtId="49" fontId="14" fillId="3" borderId="5" xfId="0" applyNumberFormat="1" applyFont="1" applyFill="1" applyBorder="1" applyAlignment="1">
      <alignment vertical="center"/>
    </xf>
    <xf numFmtId="49" fontId="11" fillId="3" borderId="13" xfId="0" applyNumberFormat="1" applyFont="1" applyFill="1" applyBorder="1" applyAlignment="1">
      <alignment horizontal="center" vertical="center" wrapText="1"/>
    </xf>
    <xf numFmtId="49" fontId="11" fillId="3" borderId="13" xfId="0" applyNumberFormat="1" applyFont="1" applyFill="1" applyBorder="1" applyAlignment="1">
      <alignment horizontal="right" vertical="center" wrapText="1"/>
    </xf>
    <xf numFmtId="49" fontId="15" fillId="3" borderId="4" xfId="0" applyNumberFormat="1" applyFont="1" applyFill="1" applyBorder="1" applyAlignment="1">
      <alignment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vertical="center"/>
    </xf>
    <xf numFmtId="3" fontId="15" fillId="3" borderId="4" xfId="0" applyNumberFormat="1" applyFont="1" applyFill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vertical="center"/>
    </xf>
    <xf numFmtId="49" fontId="11" fillId="3" borderId="13" xfId="0" applyNumberFormat="1" applyFont="1" applyFill="1" applyBorder="1" applyAlignment="1">
      <alignment horizontal="center" vertical="center"/>
    </xf>
    <xf numFmtId="49" fontId="15" fillId="3" borderId="14" xfId="0" applyNumberFormat="1" applyFont="1" applyFill="1" applyBorder="1" applyAlignment="1">
      <alignment vertical="center"/>
    </xf>
    <xf numFmtId="164" fontId="15" fillId="3" borderId="14" xfId="1" applyFont="1" applyFill="1" applyBorder="1" applyAlignment="1">
      <alignment vertical="center"/>
    </xf>
    <xf numFmtId="49" fontId="11" fillId="5" borderId="15" xfId="0" applyNumberFormat="1" applyFont="1" applyFill="1" applyBorder="1" applyAlignment="1">
      <alignment vertical="center"/>
    </xf>
    <xf numFmtId="0" fontId="11" fillId="5" borderId="16" xfId="0" applyFont="1" applyFill="1" applyBorder="1" applyAlignment="1">
      <alignment vertical="center"/>
    </xf>
    <xf numFmtId="167" fontId="11" fillId="5" borderId="17" xfId="0" applyNumberFormat="1" applyFont="1" applyFill="1" applyBorder="1" applyAlignment="1">
      <alignment vertical="center"/>
    </xf>
    <xf numFmtId="49" fontId="11" fillId="3" borderId="18" xfId="0" applyNumberFormat="1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167" fontId="11" fillId="3" borderId="19" xfId="0" applyNumberFormat="1" applyFont="1" applyFill="1" applyBorder="1" applyAlignment="1">
      <alignment vertical="center"/>
    </xf>
    <xf numFmtId="49" fontId="11" fillId="5" borderId="18" xfId="0" applyNumberFormat="1" applyFont="1" applyFill="1" applyBorder="1" applyAlignment="1">
      <alignment vertical="center"/>
    </xf>
    <xf numFmtId="0" fontId="11" fillId="5" borderId="5" xfId="0" applyFont="1" applyFill="1" applyBorder="1" applyAlignment="1">
      <alignment vertical="center"/>
    </xf>
    <xf numFmtId="167" fontId="11" fillId="5" borderId="19" xfId="0" applyNumberFormat="1" applyFont="1" applyFill="1" applyBorder="1" applyAlignment="1">
      <alignment vertical="center"/>
    </xf>
    <xf numFmtId="49" fontId="11" fillId="5" borderId="20" xfId="0" applyNumberFormat="1" applyFont="1" applyFill="1" applyBorder="1" applyAlignment="1">
      <alignment vertical="center"/>
    </xf>
    <xf numFmtId="0" fontId="4" fillId="5" borderId="21" xfId="0" applyFont="1" applyFill="1" applyBorder="1" applyAlignment="1">
      <alignment vertical="center"/>
    </xf>
    <xf numFmtId="0" fontId="2" fillId="7" borderId="24" xfId="0" applyFont="1" applyFill="1" applyBorder="1" applyAlignment="1"/>
    <xf numFmtId="0" fontId="2" fillId="8" borderId="0" xfId="0" applyFont="1" applyFill="1" applyBorder="1" applyAlignment="1"/>
    <xf numFmtId="49" fontId="8" fillId="9" borderId="25" xfId="0" applyNumberFormat="1" applyFont="1" applyFill="1" applyBorder="1" applyAlignment="1">
      <alignment vertical="center"/>
    </xf>
    <xf numFmtId="49" fontId="8" fillId="9" borderId="26" xfId="0" applyNumberFormat="1" applyFont="1" applyFill="1" applyBorder="1" applyAlignment="1">
      <alignment horizontal="center" vertical="center"/>
    </xf>
    <xf numFmtId="49" fontId="2" fillId="9" borderId="27" xfId="0" applyNumberFormat="1" applyFont="1" applyFill="1" applyBorder="1" applyAlignment="1">
      <alignment horizontal="center"/>
    </xf>
    <xf numFmtId="49" fontId="8" fillId="6" borderId="28" xfId="0" applyNumberFormat="1" applyFont="1" applyFill="1" applyBorder="1" applyAlignment="1">
      <alignment vertical="center"/>
    </xf>
    <xf numFmtId="3" fontId="8" fillId="6" borderId="7" xfId="0" applyNumberFormat="1" applyFont="1" applyFill="1" applyBorder="1" applyAlignment="1">
      <alignment vertical="center"/>
    </xf>
    <xf numFmtId="9" fontId="2" fillId="6" borderId="29" xfId="0" applyNumberFormat="1" applyFont="1" applyFill="1" applyBorder="1" applyAlignment="1"/>
    <xf numFmtId="168" fontId="8" fillId="6" borderId="7" xfId="0" applyNumberFormat="1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49" fontId="8" fillId="9" borderId="30" xfId="0" applyNumberFormat="1" applyFont="1" applyFill="1" applyBorder="1" applyAlignment="1">
      <alignment vertical="center"/>
    </xf>
    <xf numFmtId="168" fontId="8" fillId="9" borderId="31" xfId="0" applyNumberFormat="1" applyFont="1" applyFill="1" applyBorder="1" applyAlignment="1">
      <alignment vertical="center"/>
    </xf>
    <xf numFmtId="9" fontId="8" fillId="9" borderId="32" xfId="0" applyNumberFormat="1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vertical="center"/>
    </xf>
    <xf numFmtId="49" fontId="8" fillId="9" borderId="36" xfId="0" applyNumberFormat="1" applyFont="1" applyFill="1" applyBorder="1" applyAlignment="1">
      <alignment vertical="center"/>
    </xf>
    <xf numFmtId="3" fontId="8" fillId="9" borderId="37" xfId="0" applyNumberFormat="1" applyFont="1" applyFill="1" applyBorder="1" applyAlignment="1">
      <alignment vertical="center"/>
    </xf>
    <xf numFmtId="168" fontId="8" fillId="9" borderId="3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9" fontId="8" fillId="10" borderId="25" xfId="0" applyNumberFormat="1" applyFont="1" applyFill="1" applyBorder="1" applyAlignment="1">
      <alignment vertical="center"/>
    </xf>
    <xf numFmtId="49" fontId="8" fillId="10" borderId="26" xfId="0" applyNumberFormat="1" applyFont="1" applyFill="1" applyBorder="1" applyAlignment="1">
      <alignment horizontal="center" vertical="center"/>
    </xf>
    <xf numFmtId="49" fontId="2" fillId="10" borderId="27" xfId="0" applyNumberFormat="1" applyFont="1" applyFill="1" applyBorder="1" applyAlignment="1">
      <alignment horizontal="center"/>
    </xf>
    <xf numFmtId="49" fontId="8" fillId="10" borderId="28" xfId="0" applyNumberFormat="1" applyFont="1" applyFill="1" applyBorder="1" applyAlignment="1">
      <alignment vertical="center"/>
    </xf>
    <xf numFmtId="3" fontId="8" fillId="10" borderId="7" xfId="0" applyNumberFormat="1" applyFont="1" applyFill="1" applyBorder="1" applyAlignment="1">
      <alignment vertical="center"/>
    </xf>
    <xf numFmtId="9" fontId="2" fillId="10" borderId="29" xfId="0" applyNumberFormat="1" applyFont="1" applyFill="1" applyBorder="1" applyAlignment="1"/>
    <xf numFmtId="168" fontId="8" fillId="10" borderId="7" xfId="0" applyNumberFormat="1" applyFont="1" applyFill="1" applyBorder="1" applyAlignment="1">
      <alignment vertical="center"/>
    </xf>
    <xf numFmtId="49" fontId="8" fillId="10" borderId="30" xfId="0" applyNumberFormat="1" applyFont="1" applyFill="1" applyBorder="1" applyAlignment="1">
      <alignment vertical="center"/>
    </xf>
    <xf numFmtId="168" fontId="8" fillId="10" borderId="31" xfId="0" applyNumberFormat="1" applyFont="1" applyFill="1" applyBorder="1" applyAlignment="1">
      <alignment vertical="center"/>
    </xf>
    <xf numFmtId="9" fontId="8" fillId="10" borderId="32" xfId="0" applyNumberFormat="1" applyFont="1" applyFill="1" applyBorder="1" applyAlignment="1">
      <alignment vertical="center"/>
    </xf>
    <xf numFmtId="49" fontId="8" fillId="10" borderId="36" xfId="0" applyNumberFormat="1" applyFont="1" applyFill="1" applyBorder="1" applyAlignment="1">
      <alignment vertical="center"/>
    </xf>
    <xf numFmtId="3" fontId="8" fillId="10" borderId="37" xfId="0" applyNumberFormat="1" applyFont="1" applyFill="1" applyBorder="1" applyAlignment="1">
      <alignment vertical="center"/>
    </xf>
    <xf numFmtId="168" fontId="8" fillId="10" borderId="32" xfId="0" applyNumberFormat="1" applyFont="1" applyFill="1" applyBorder="1" applyAlignment="1">
      <alignment vertical="center"/>
    </xf>
    <xf numFmtId="49" fontId="16" fillId="7" borderId="22" xfId="0" applyNumberFormat="1" applyFont="1" applyFill="1" applyBorder="1" applyAlignment="1">
      <alignment vertical="center"/>
    </xf>
    <xf numFmtId="0" fontId="8" fillId="7" borderId="23" xfId="0" applyFont="1" applyFill="1" applyBorder="1" applyAlignment="1">
      <alignment vertical="center"/>
    </xf>
    <xf numFmtId="49" fontId="16" fillId="7" borderId="33" xfId="0" applyNumberFormat="1" applyFont="1" applyFill="1" applyBorder="1" applyAlignment="1">
      <alignment horizontal="center" vertical="center"/>
    </xf>
    <xf numFmtId="49" fontId="16" fillId="7" borderId="34" xfId="0" applyNumberFormat="1" applyFont="1" applyFill="1" applyBorder="1" applyAlignment="1">
      <alignment horizontal="center" vertical="center"/>
    </xf>
    <xf numFmtId="49" fontId="16" fillId="7" borderId="35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9" fontId="6" fillId="3" borderId="7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>
      <alignment wrapText="1"/>
    </xf>
    <xf numFmtId="0" fontId="12" fillId="4" borderId="7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750570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073" y="0"/>
          <a:ext cx="7151370" cy="1080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50800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50" y="0"/>
          <a:ext cx="567055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5"/>
  <sheetViews>
    <sheetView topLeftCell="B54" zoomScale="120" zoomScaleNormal="120" workbookViewId="0">
      <selection activeCell="T4" sqref="T4:T13"/>
    </sheetView>
  </sheetViews>
  <sheetFormatPr baseColWidth="10" defaultRowHeight="15" x14ac:dyDescent="0.25"/>
  <cols>
    <col min="1" max="1" width="5.42578125" style="3" customWidth="1"/>
    <col min="2" max="2" width="21.7109375" style="3" customWidth="1"/>
    <col min="3" max="3" width="11.5703125" style="3"/>
    <col min="4" max="4" width="11.42578125" style="3" customWidth="1"/>
    <col min="5" max="5" width="11.5703125" style="3"/>
    <col min="6" max="6" width="11" style="3" customWidth="1"/>
    <col min="7" max="7" width="14.7109375" style="3" customWidth="1"/>
    <col min="8" max="257" width="11.5703125" style="3"/>
    <col min="258" max="258" width="15.5703125" style="3" customWidth="1"/>
    <col min="259" max="513" width="11.5703125" style="3"/>
    <col min="514" max="514" width="15.5703125" style="3" customWidth="1"/>
    <col min="515" max="769" width="11.5703125" style="3"/>
    <col min="770" max="770" width="15.5703125" style="3" customWidth="1"/>
    <col min="771" max="1025" width="11.5703125" style="3"/>
    <col min="1026" max="1026" width="15.5703125" style="3" customWidth="1"/>
    <col min="1027" max="1281" width="11.5703125" style="3"/>
    <col min="1282" max="1282" width="15.5703125" style="3" customWidth="1"/>
    <col min="1283" max="1537" width="11.5703125" style="3"/>
    <col min="1538" max="1538" width="15.5703125" style="3" customWidth="1"/>
    <col min="1539" max="1793" width="11.5703125" style="3"/>
    <col min="1794" max="1794" width="15.5703125" style="3" customWidth="1"/>
    <col min="1795" max="2049" width="11.5703125" style="3"/>
    <col min="2050" max="2050" width="15.5703125" style="3" customWidth="1"/>
    <col min="2051" max="2305" width="11.5703125" style="3"/>
    <col min="2306" max="2306" width="15.5703125" style="3" customWidth="1"/>
    <col min="2307" max="2561" width="11.5703125" style="3"/>
    <col min="2562" max="2562" width="15.5703125" style="3" customWidth="1"/>
    <col min="2563" max="2817" width="11.5703125" style="3"/>
    <col min="2818" max="2818" width="15.5703125" style="3" customWidth="1"/>
    <col min="2819" max="3073" width="11.5703125" style="3"/>
    <col min="3074" max="3074" width="15.5703125" style="3" customWidth="1"/>
    <col min="3075" max="3329" width="11.5703125" style="3"/>
    <col min="3330" max="3330" width="15.5703125" style="3" customWidth="1"/>
    <col min="3331" max="3585" width="11.5703125" style="3"/>
    <col min="3586" max="3586" width="15.5703125" style="3" customWidth="1"/>
    <col min="3587" max="3841" width="11.5703125" style="3"/>
    <col min="3842" max="3842" width="15.5703125" style="3" customWidth="1"/>
    <col min="3843" max="4097" width="11.5703125" style="3"/>
    <col min="4098" max="4098" width="15.5703125" style="3" customWidth="1"/>
    <col min="4099" max="4353" width="11.5703125" style="3"/>
    <col min="4354" max="4354" width="15.5703125" style="3" customWidth="1"/>
    <col min="4355" max="4609" width="11.5703125" style="3"/>
    <col min="4610" max="4610" width="15.5703125" style="3" customWidth="1"/>
    <col min="4611" max="4865" width="11.5703125" style="3"/>
    <col min="4866" max="4866" width="15.5703125" style="3" customWidth="1"/>
    <col min="4867" max="5121" width="11.5703125" style="3"/>
    <col min="5122" max="5122" width="15.5703125" style="3" customWidth="1"/>
    <col min="5123" max="5377" width="11.5703125" style="3"/>
    <col min="5378" max="5378" width="15.5703125" style="3" customWidth="1"/>
    <col min="5379" max="5633" width="11.5703125" style="3"/>
    <col min="5634" max="5634" width="15.5703125" style="3" customWidth="1"/>
    <col min="5635" max="5889" width="11.5703125" style="3"/>
    <col min="5890" max="5890" width="15.5703125" style="3" customWidth="1"/>
    <col min="5891" max="6145" width="11.5703125" style="3"/>
    <col min="6146" max="6146" width="15.5703125" style="3" customWidth="1"/>
    <col min="6147" max="6401" width="11.5703125" style="3"/>
    <col min="6402" max="6402" width="15.5703125" style="3" customWidth="1"/>
    <col min="6403" max="6657" width="11.5703125" style="3"/>
    <col min="6658" max="6658" width="15.5703125" style="3" customWidth="1"/>
    <col min="6659" max="6913" width="11.5703125" style="3"/>
    <col min="6914" max="6914" width="15.5703125" style="3" customWidth="1"/>
    <col min="6915" max="7169" width="11.5703125" style="3"/>
    <col min="7170" max="7170" width="15.5703125" style="3" customWidth="1"/>
    <col min="7171" max="7425" width="11.5703125" style="3"/>
    <col min="7426" max="7426" width="15.5703125" style="3" customWidth="1"/>
    <col min="7427" max="7681" width="11.5703125" style="3"/>
    <col min="7682" max="7682" width="15.5703125" style="3" customWidth="1"/>
    <col min="7683" max="7937" width="11.5703125" style="3"/>
    <col min="7938" max="7938" width="15.5703125" style="3" customWidth="1"/>
    <col min="7939" max="8193" width="11.5703125" style="3"/>
    <col min="8194" max="8194" width="15.5703125" style="3" customWidth="1"/>
    <col min="8195" max="8449" width="11.5703125" style="3"/>
    <col min="8450" max="8450" width="15.5703125" style="3" customWidth="1"/>
    <col min="8451" max="8705" width="11.5703125" style="3"/>
    <col min="8706" max="8706" width="15.5703125" style="3" customWidth="1"/>
    <col min="8707" max="8961" width="11.5703125" style="3"/>
    <col min="8962" max="8962" width="15.5703125" style="3" customWidth="1"/>
    <col min="8963" max="9217" width="11.5703125" style="3"/>
    <col min="9218" max="9218" width="15.5703125" style="3" customWidth="1"/>
    <col min="9219" max="9473" width="11.5703125" style="3"/>
    <col min="9474" max="9474" width="15.5703125" style="3" customWidth="1"/>
    <col min="9475" max="9729" width="11.5703125" style="3"/>
    <col min="9730" max="9730" width="15.5703125" style="3" customWidth="1"/>
    <col min="9731" max="9985" width="11.5703125" style="3"/>
    <col min="9986" max="9986" width="15.5703125" style="3" customWidth="1"/>
    <col min="9987" max="10241" width="11.5703125" style="3"/>
    <col min="10242" max="10242" width="15.5703125" style="3" customWidth="1"/>
    <col min="10243" max="10497" width="11.5703125" style="3"/>
    <col min="10498" max="10498" width="15.5703125" style="3" customWidth="1"/>
    <col min="10499" max="10753" width="11.5703125" style="3"/>
    <col min="10754" max="10754" width="15.5703125" style="3" customWidth="1"/>
    <col min="10755" max="11009" width="11.5703125" style="3"/>
    <col min="11010" max="11010" width="15.5703125" style="3" customWidth="1"/>
    <col min="11011" max="11265" width="11.5703125" style="3"/>
    <col min="11266" max="11266" width="15.5703125" style="3" customWidth="1"/>
    <col min="11267" max="11521" width="11.5703125" style="3"/>
    <col min="11522" max="11522" width="15.5703125" style="3" customWidth="1"/>
    <col min="11523" max="11777" width="11.5703125" style="3"/>
    <col min="11778" max="11778" width="15.5703125" style="3" customWidth="1"/>
    <col min="11779" max="12033" width="11.5703125" style="3"/>
    <col min="12034" max="12034" width="15.5703125" style="3" customWidth="1"/>
    <col min="12035" max="12289" width="11.5703125" style="3"/>
    <col min="12290" max="12290" width="15.5703125" style="3" customWidth="1"/>
    <col min="12291" max="12545" width="11.5703125" style="3"/>
    <col min="12546" max="12546" width="15.5703125" style="3" customWidth="1"/>
    <col min="12547" max="12801" width="11.5703125" style="3"/>
    <col min="12802" max="12802" width="15.5703125" style="3" customWidth="1"/>
    <col min="12803" max="13057" width="11.5703125" style="3"/>
    <col min="13058" max="13058" width="15.5703125" style="3" customWidth="1"/>
    <col min="13059" max="13313" width="11.5703125" style="3"/>
    <col min="13314" max="13314" width="15.5703125" style="3" customWidth="1"/>
    <col min="13315" max="13569" width="11.5703125" style="3"/>
    <col min="13570" max="13570" width="15.5703125" style="3" customWidth="1"/>
    <col min="13571" max="13825" width="11.5703125" style="3"/>
    <col min="13826" max="13826" width="15.5703125" style="3" customWidth="1"/>
    <col min="13827" max="14081" width="11.5703125" style="3"/>
    <col min="14082" max="14082" width="15.5703125" style="3" customWidth="1"/>
    <col min="14083" max="14337" width="11.5703125" style="3"/>
    <col min="14338" max="14338" width="15.5703125" style="3" customWidth="1"/>
    <col min="14339" max="14593" width="11.5703125" style="3"/>
    <col min="14594" max="14594" width="15.5703125" style="3" customWidth="1"/>
    <col min="14595" max="14849" width="11.5703125" style="3"/>
    <col min="14850" max="14850" width="15.5703125" style="3" customWidth="1"/>
    <col min="14851" max="15105" width="11.5703125" style="3"/>
    <col min="15106" max="15106" width="15.5703125" style="3" customWidth="1"/>
    <col min="15107" max="15361" width="11.5703125" style="3"/>
    <col min="15362" max="15362" width="15.5703125" style="3" customWidth="1"/>
    <col min="15363" max="15617" width="11.5703125" style="3"/>
    <col min="15618" max="15618" width="15.5703125" style="3" customWidth="1"/>
    <col min="15619" max="15873" width="11.5703125" style="3"/>
    <col min="15874" max="15874" width="15.5703125" style="3" customWidth="1"/>
    <col min="15875" max="16129" width="11.5703125" style="3"/>
    <col min="16130" max="16130" width="15.5703125" style="3" customWidth="1"/>
    <col min="16131" max="16384" width="11.5703125" style="3"/>
  </cols>
  <sheetData>
    <row r="1" spans="2:7" x14ac:dyDescent="0.25">
      <c r="B1" s="1"/>
      <c r="C1" s="1"/>
      <c r="D1" s="1"/>
      <c r="E1" s="2"/>
      <c r="F1" s="1"/>
      <c r="G1" s="1"/>
    </row>
    <row r="2" spans="2:7" x14ac:dyDescent="0.25">
      <c r="B2" s="1"/>
      <c r="C2" s="1"/>
      <c r="D2" s="1"/>
      <c r="E2" s="2"/>
      <c r="F2" s="1"/>
      <c r="G2" s="1"/>
    </row>
    <row r="3" spans="2:7" x14ac:dyDescent="0.25">
      <c r="B3" s="1"/>
      <c r="C3" s="1"/>
      <c r="D3" s="1"/>
      <c r="E3" s="2"/>
      <c r="F3" s="1"/>
      <c r="G3" s="1"/>
    </row>
    <row r="4" spans="2:7" x14ac:dyDescent="0.25">
      <c r="B4" s="1"/>
      <c r="C4" s="1"/>
      <c r="D4" s="1"/>
      <c r="E4" s="2"/>
      <c r="F4" s="1"/>
      <c r="G4" s="1"/>
    </row>
    <row r="5" spans="2:7" x14ac:dyDescent="0.25">
      <c r="B5" s="1"/>
      <c r="C5" s="1"/>
      <c r="D5" s="1"/>
      <c r="E5" s="2"/>
      <c r="F5" s="1"/>
      <c r="G5" s="1"/>
    </row>
    <row r="6" spans="2:7" x14ac:dyDescent="0.25">
      <c r="B6" s="1"/>
      <c r="C6" s="1"/>
      <c r="D6" s="1"/>
      <c r="E6" s="2"/>
      <c r="F6" s="1"/>
      <c r="G6" s="1"/>
    </row>
    <row r="7" spans="2:7" ht="14.65" customHeight="1" x14ac:dyDescent="0.25">
      <c r="B7" s="31" t="s">
        <v>0</v>
      </c>
      <c r="C7" s="15" t="s">
        <v>1</v>
      </c>
      <c r="D7" s="1"/>
      <c r="E7" s="118" t="s">
        <v>105</v>
      </c>
      <c r="F7" s="119"/>
      <c r="G7" s="4">
        <v>30000</v>
      </c>
    </row>
    <row r="8" spans="2:7" x14ac:dyDescent="0.25">
      <c r="B8" s="5" t="s">
        <v>2</v>
      </c>
      <c r="C8" s="23" t="s">
        <v>94</v>
      </c>
      <c r="D8" s="1"/>
      <c r="E8" s="120" t="s">
        <v>3</v>
      </c>
      <c r="F8" s="120"/>
      <c r="G8" s="7" t="s">
        <v>104</v>
      </c>
    </row>
    <row r="9" spans="2:7" x14ac:dyDescent="0.25">
      <c r="B9" s="5" t="s">
        <v>4</v>
      </c>
      <c r="C9" s="15" t="s">
        <v>5</v>
      </c>
      <c r="D9" s="1"/>
      <c r="E9" s="120" t="s">
        <v>6</v>
      </c>
      <c r="F9" s="120"/>
      <c r="G9" s="8">
        <v>180</v>
      </c>
    </row>
    <row r="10" spans="2:7" ht="21.75" customHeight="1" x14ac:dyDescent="0.25">
      <c r="B10" s="5" t="s">
        <v>7</v>
      </c>
      <c r="C10" s="15" t="s">
        <v>8</v>
      </c>
      <c r="D10" s="1"/>
      <c r="E10" s="121" t="s">
        <v>9</v>
      </c>
      <c r="F10" s="122"/>
      <c r="G10" s="29">
        <f>+G9*G7</f>
        <v>5400000</v>
      </c>
    </row>
    <row r="11" spans="2:7" x14ac:dyDescent="0.25">
      <c r="B11" s="5" t="s">
        <v>10</v>
      </c>
      <c r="C11" s="15" t="s">
        <v>11</v>
      </c>
      <c r="D11" s="1"/>
      <c r="E11" s="121" t="s">
        <v>12</v>
      </c>
      <c r="F11" s="122"/>
      <c r="G11" s="9" t="s">
        <v>13</v>
      </c>
    </row>
    <row r="12" spans="2:7" x14ac:dyDescent="0.25">
      <c r="B12" s="5" t="s">
        <v>14</v>
      </c>
      <c r="C12" s="15" t="s">
        <v>15</v>
      </c>
      <c r="D12" s="1"/>
      <c r="E12" s="121" t="s">
        <v>16</v>
      </c>
      <c r="F12" s="122"/>
      <c r="G12" s="6" t="s">
        <v>17</v>
      </c>
    </row>
    <row r="13" spans="2:7" x14ac:dyDescent="0.25">
      <c r="B13" s="5" t="s">
        <v>18</v>
      </c>
      <c r="C13" s="24">
        <v>44602</v>
      </c>
      <c r="D13" s="1"/>
      <c r="E13" s="114" t="s">
        <v>19</v>
      </c>
      <c r="F13" s="115"/>
      <c r="G13" s="6" t="s">
        <v>100</v>
      </c>
    </row>
    <row r="14" spans="2:7" x14ac:dyDescent="0.25">
      <c r="B14" s="2"/>
      <c r="C14" s="10"/>
      <c r="D14" s="1"/>
      <c r="E14" s="1"/>
      <c r="F14" s="1"/>
      <c r="G14" s="11"/>
    </row>
    <row r="15" spans="2:7" x14ac:dyDescent="0.25">
      <c r="B15" s="116" t="s">
        <v>20</v>
      </c>
      <c r="C15" s="117"/>
      <c r="D15" s="117"/>
      <c r="E15" s="117"/>
      <c r="F15" s="117"/>
      <c r="G15" s="117"/>
    </row>
    <row r="16" spans="2:7" x14ac:dyDescent="0.25">
      <c r="B16" s="1"/>
      <c r="C16" s="12"/>
      <c r="D16" s="12"/>
      <c r="E16" s="13"/>
      <c r="F16" s="1"/>
      <c r="G16" s="1"/>
    </row>
    <row r="17" spans="2:8" x14ac:dyDescent="0.25">
      <c r="B17" s="32" t="s">
        <v>21</v>
      </c>
      <c r="C17" s="33"/>
      <c r="D17" s="34"/>
      <c r="E17" s="34"/>
      <c r="F17" s="34"/>
      <c r="G17" s="35"/>
    </row>
    <row r="18" spans="2:8" ht="24" x14ac:dyDescent="0.25">
      <c r="B18" s="36" t="s">
        <v>22</v>
      </c>
      <c r="C18" s="36" t="s">
        <v>23</v>
      </c>
      <c r="D18" s="36" t="s">
        <v>24</v>
      </c>
      <c r="E18" s="36" t="s">
        <v>77</v>
      </c>
      <c r="F18" s="36" t="s">
        <v>26</v>
      </c>
      <c r="G18" s="36" t="s">
        <v>27</v>
      </c>
    </row>
    <row r="19" spans="2:8" x14ac:dyDescent="0.25">
      <c r="B19" s="14" t="s">
        <v>28</v>
      </c>
      <c r="C19" s="15" t="s">
        <v>29</v>
      </c>
      <c r="D19" s="15">
        <v>4</v>
      </c>
      <c r="E19" s="16" t="s">
        <v>30</v>
      </c>
      <c r="F19" s="17">
        <f>(20000+(20000*0.06))*1.1</f>
        <v>23320.000000000004</v>
      </c>
      <c r="G19" s="17">
        <f t="shared" ref="G19:G30" si="0">+F19*D19</f>
        <v>93280.000000000015</v>
      </c>
      <c r="H19" s="25"/>
    </row>
    <row r="20" spans="2:8" x14ac:dyDescent="0.25">
      <c r="B20" s="14" t="s">
        <v>31</v>
      </c>
      <c r="C20" s="15" t="s">
        <v>29</v>
      </c>
      <c r="D20" s="15">
        <v>2</v>
      </c>
      <c r="E20" s="16" t="s">
        <v>30</v>
      </c>
      <c r="F20" s="17">
        <f t="shared" ref="F20:F21" si="1">(20000+(20000*0.06))*1.1</f>
        <v>23320.000000000004</v>
      </c>
      <c r="G20" s="17">
        <f>+F20*D20</f>
        <v>46640.000000000007</v>
      </c>
      <c r="H20" s="25"/>
    </row>
    <row r="21" spans="2:8" x14ac:dyDescent="0.25">
      <c r="B21" s="14" t="s">
        <v>32</v>
      </c>
      <c r="C21" s="15" t="s">
        <v>29</v>
      </c>
      <c r="D21" s="15">
        <v>0.25</v>
      </c>
      <c r="E21" s="16" t="s">
        <v>30</v>
      </c>
      <c r="F21" s="17">
        <f t="shared" si="1"/>
        <v>23320.000000000004</v>
      </c>
      <c r="G21" s="17">
        <f>+F21*D21</f>
        <v>5830.0000000000009</v>
      </c>
      <c r="H21" s="25"/>
    </row>
    <row r="22" spans="2:8" x14ac:dyDescent="0.25">
      <c r="B22" s="14" t="s">
        <v>33</v>
      </c>
      <c r="C22" s="15" t="s">
        <v>29</v>
      </c>
      <c r="D22" s="15">
        <v>6</v>
      </c>
      <c r="E22" s="16" t="s">
        <v>30</v>
      </c>
      <c r="F22" s="17">
        <f>(15450+(15450*0.06))*1.1</f>
        <v>18014.7</v>
      </c>
      <c r="G22" s="17">
        <f t="shared" si="0"/>
        <v>108088.20000000001</v>
      </c>
      <c r="H22" s="25"/>
    </row>
    <row r="23" spans="2:8" x14ac:dyDescent="0.25">
      <c r="B23" s="14" t="s">
        <v>34</v>
      </c>
      <c r="C23" s="15" t="s">
        <v>29</v>
      </c>
      <c r="D23" s="15">
        <v>0.25</v>
      </c>
      <c r="E23" s="16" t="s">
        <v>30</v>
      </c>
      <c r="F23" s="17">
        <f>(20000+(20000*0.06))*1.1</f>
        <v>23320.000000000004</v>
      </c>
      <c r="G23" s="17">
        <f t="shared" si="0"/>
        <v>5830.0000000000009</v>
      </c>
      <c r="H23" s="25"/>
    </row>
    <row r="24" spans="2:8" x14ac:dyDescent="0.25">
      <c r="B24" s="14" t="s">
        <v>35</v>
      </c>
      <c r="C24" s="15" t="s">
        <v>29</v>
      </c>
      <c r="D24" s="15">
        <v>3</v>
      </c>
      <c r="E24" s="16" t="s">
        <v>30</v>
      </c>
      <c r="F24" s="17">
        <f t="shared" ref="F24:F28" si="2">(20000+(20000*0.06))*1.1</f>
        <v>23320.000000000004</v>
      </c>
      <c r="G24" s="17">
        <f t="shared" si="0"/>
        <v>69960.000000000015</v>
      </c>
      <c r="H24" s="25"/>
    </row>
    <row r="25" spans="2:8" x14ac:dyDescent="0.25">
      <c r="B25" s="14" t="s">
        <v>36</v>
      </c>
      <c r="C25" s="15" t="s">
        <v>29</v>
      </c>
      <c r="D25" s="15">
        <v>2</v>
      </c>
      <c r="E25" s="16" t="s">
        <v>30</v>
      </c>
      <c r="F25" s="17">
        <f t="shared" si="2"/>
        <v>23320.000000000004</v>
      </c>
      <c r="G25" s="17">
        <f t="shared" si="0"/>
        <v>46640.000000000007</v>
      </c>
      <c r="H25" s="25"/>
    </row>
    <row r="26" spans="2:8" x14ac:dyDescent="0.25">
      <c r="B26" s="14" t="s">
        <v>37</v>
      </c>
      <c r="C26" s="15" t="s">
        <v>29</v>
      </c>
      <c r="D26" s="15">
        <v>15</v>
      </c>
      <c r="E26" s="16" t="s">
        <v>30</v>
      </c>
      <c r="F26" s="17">
        <f t="shared" si="2"/>
        <v>23320.000000000004</v>
      </c>
      <c r="G26" s="17">
        <f t="shared" si="0"/>
        <v>349800.00000000006</v>
      </c>
      <c r="H26" s="25"/>
    </row>
    <row r="27" spans="2:8" x14ac:dyDescent="0.25">
      <c r="B27" s="14" t="s">
        <v>36</v>
      </c>
      <c r="C27" s="15" t="s">
        <v>29</v>
      </c>
      <c r="D27" s="15">
        <v>9</v>
      </c>
      <c r="E27" s="16" t="s">
        <v>38</v>
      </c>
      <c r="F27" s="17">
        <f t="shared" si="2"/>
        <v>23320.000000000004</v>
      </c>
      <c r="G27" s="17">
        <f t="shared" si="0"/>
        <v>209880.00000000003</v>
      </c>
      <c r="H27" s="25"/>
    </row>
    <row r="28" spans="2:8" x14ac:dyDescent="0.25">
      <c r="B28" s="14" t="s">
        <v>35</v>
      </c>
      <c r="C28" s="15" t="s">
        <v>29</v>
      </c>
      <c r="D28" s="15">
        <v>3</v>
      </c>
      <c r="E28" s="16" t="s">
        <v>39</v>
      </c>
      <c r="F28" s="17">
        <f t="shared" si="2"/>
        <v>23320.000000000004</v>
      </c>
      <c r="G28" s="17">
        <f t="shared" si="0"/>
        <v>69960.000000000015</v>
      </c>
      <c r="H28" s="25"/>
    </row>
    <row r="29" spans="2:8" x14ac:dyDescent="0.25">
      <c r="B29" s="14" t="s">
        <v>40</v>
      </c>
      <c r="C29" s="15" t="s">
        <v>29</v>
      </c>
      <c r="D29" s="15">
        <v>2</v>
      </c>
      <c r="E29" s="16" t="s">
        <v>41</v>
      </c>
      <c r="F29" s="17">
        <f>(15450+(15450*0.06))*1.1</f>
        <v>18014.7</v>
      </c>
      <c r="G29" s="17">
        <f t="shared" si="0"/>
        <v>36029.4</v>
      </c>
      <c r="H29" s="25"/>
    </row>
    <row r="30" spans="2:8" x14ac:dyDescent="0.25">
      <c r="B30" s="14" t="s">
        <v>42</v>
      </c>
      <c r="C30" s="15" t="s">
        <v>29</v>
      </c>
      <c r="D30" s="15">
        <v>18</v>
      </c>
      <c r="E30" s="16" t="s">
        <v>41</v>
      </c>
      <c r="F30" s="17">
        <f>(20000+(20000*0.06))*1.1</f>
        <v>23320.000000000004</v>
      </c>
      <c r="G30" s="17">
        <f t="shared" si="0"/>
        <v>419760.00000000006</v>
      </c>
      <c r="H30" s="25"/>
    </row>
    <row r="31" spans="2:8" x14ac:dyDescent="0.25">
      <c r="B31" s="37" t="s">
        <v>43</v>
      </c>
      <c r="C31" s="38"/>
      <c r="D31" s="38"/>
      <c r="E31" s="38"/>
      <c r="F31" s="39"/>
      <c r="G31" s="40">
        <f>SUM(G19:G30)</f>
        <v>1461697.6000000003</v>
      </c>
    </row>
    <row r="32" spans="2:8" x14ac:dyDescent="0.25">
      <c r="B32" s="1"/>
      <c r="C32" s="18"/>
      <c r="D32" s="18"/>
      <c r="E32" s="18"/>
      <c r="F32" s="1"/>
      <c r="G32" s="1"/>
    </row>
    <row r="33" spans="2:8" x14ac:dyDescent="0.25">
      <c r="B33" s="41" t="s">
        <v>44</v>
      </c>
      <c r="C33" s="42"/>
      <c r="D33" s="43"/>
      <c r="E33" s="43"/>
      <c r="F33" s="44"/>
      <c r="G33" s="45"/>
    </row>
    <row r="34" spans="2:8" ht="24" x14ac:dyDescent="0.25">
      <c r="B34" s="46" t="s">
        <v>22</v>
      </c>
      <c r="C34" s="47" t="s">
        <v>23</v>
      </c>
      <c r="D34" s="47" t="s">
        <v>24</v>
      </c>
      <c r="E34" s="46" t="s">
        <v>106</v>
      </c>
      <c r="F34" s="47" t="s">
        <v>26</v>
      </c>
      <c r="G34" s="46" t="s">
        <v>27</v>
      </c>
    </row>
    <row r="35" spans="2:8" x14ac:dyDescent="0.25">
      <c r="B35" s="14" t="s">
        <v>45</v>
      </c>
      <c r="C35" s="15" t="s">
        <v>46</v>
      </c>
      <c r="D35" s="15">
        <v>1</v>
      </c>
      <c r="E35" s="15" t="s">
        <v>30</v>
      </c>
      <c r="F35" s="17">
        <f>(90000+(90000*0.06))*1.1</f>
        <v>104940.00000000001</v>
      </c>
      <c r="G35" s="17">
        <f>+F35*D35</f>
        <v>104940.00000000001</v>
      </c>
    </row>
    <row r="36" spans="2:8" x14ac:dyDescent="0.25">
      <c r="B36" s="48" t="s">
        <v>47</v>
      </c>
      <c r="C36" s="49"/>
      <c r="D36" s="49"/>
      <c r="E36" s="49"/>
      <c r="F36" s="50"/>
      <c r="G36" s="40">
        <f>SUM(G35)</f>
        <v>104940.00000000001</v>
      </c>
    </row>
    <row r="37" spans="2:8" x14ac:dyDescent="0.25">
      <c r="B37" s="1"/>
      <c r="C37" s="18"/>
      <c r="D37" s="18"/>
      <c r="E37" s="18"/>
      <c r="F37" s="1"/>
      <c r="G37" s="1"/>
    </row>
    <row r="38" spans="2:8" x14ac:dyDescent="0.25">
      <c r="B38" s="41" t="s">
        <v>48</v>
      </c>
      <c r="C38" s="42"/>
      <c r="D38" s="43"/>
      <c r="E38" s="43"/>
      <c r="F38" s="44"/>
      <c r="G38" s="45"/>
    </row>
    <row r="39" spans="2:8" ht="24" x14ac:dyDescent="0.25">
      <c r="B39" s="51" t="s">
        <v>22</v>
      </c>
      <c r="C39" s="51" t="s">
        <v>23</v>
      </c>
      <c r="D39" s="51" t="s">
        <v>24</v>
      </c>
      <c r="E39" s="51" t="s">
        <v>77</v>
      </c>
      <c r="F39" s="52" t="s">
        <v>26</v>
      </c>
      <c r="G39" s="51" t="s">
        <v>27</v>
      </c>
    </row>
    <row r="40" spans="2:8" x14ac:dyDescent="0.25">
      <c r="B40" s="14" t="s">
        <v>49</v>
      </c>
      <c r="C40" s="15" t="s">
        <v>50</v>
      </c>
      <c r="D40" s="15">
        <v>0.21</v>
      </c>
      <c r="E40" s="15" t="s">
        <v>30</v>
      </c>
      <c r="F40" s="17">
        <v>176000</v>
      </c>
      <c r="G40" s="17">
        <f>+F40*D40</f>
        <v>36960</v>
      </c>
      <c r="H40" s="25"/>
    </row>
    <row r="41" spans="2:8" x14ac:dyDescent="0.25">
      <c r="B41" s="14" t="s">
        <v>51</v>
      </c>
      <c r="C41" s="15" t="s">
        <v>50</v>
      </c>
      <c r="D41" s="15">
        <v>0.21</v>
      </c>
      <c r="E41" s="15" t="s">
        <v>30</v>
      </c>
      <c r="F41" s="17">
        <v>176000</v>
      </c>
      <c r="G41" s="17">
        <f>+F41*D41</f>
        <v>36960</v>
      </c>
      <c r="H41" s="25"/>
    </row>
    <row r="42" spans="2:8" x14ac:dyDescent="0.25">
      <c r="B42" s="53" t="s">
        <v>52</v>
      </c>
      <c r="C42" s="49"/>
      <c r="D42" s="49"/>
      <c r="E42" s="49"/>
      <c r="F42" s="50"/>
      <c r="G42" s="40">
        <f>SUM(G40:G41)</f>
        <v>73920</v>
      </c>
    </row>
    <row r="43" spans="2:8" x14ac:dyDescent="0.25">
      <c r="B43" s="1"/>
      <c r="C43" s="18"/>
      <c r="D43" s="18"/>
      <c r="E43" s="18"/>
      <c r="F43" s="1"/>
      <c r="G43" s="1"/>
    </row>
    <row r="44" spans="2:8" x14ac:dyDescent="0.25">
      <c r="B44" s="41" t="s">
        <v>53</v>
      </c>
      <c r="C44" s="42"/>
      <c r="D44" s="43"/>
      <c r="E44" s="43"/>
      <c r="F44" s="44"/>
      <c r="G44" s="45"/>
    </row>
    <row r="45" spans="2:8" ht="24" x14ac:dyDescent="0.25">
      <c r="B45" s="54" t="s">
        <v>54</v>
      </c>
      <c r="C45" s="54" t="s">
        <v>55</v>
      </c>
      <c r="D45" s="54" t="s">
        <v>56</v>
      </c>
      <c r="E45" s="54" t="s">
        <v>77</v>
      </c>
      <c r="F45" s="54" t="s">
        <v>26</v>
      </c>
      <c r="G45" s="55" t="s">
        <v>27</v>
      </c>
    </row>
    <row r="46" spans="2:8" x14ac:dyDescent="0.25">
      <c r="B46" s="14" t="s">
        <v>101</v>
      </c>
      <c r="C46" s="15" t="s">
        <v>102</v>
      </c>
      <c r="D46" s="60">
        <v>120</v>
      </c>
      <c r="E46" s="30" t="s">
        <v>103</v>
      </c>
      <c r="F46" s="61">
        <v>2000</v>
      </c>
      <c r="G46" s="61">
        <f>(D46*F46)</f>
        <v>240000</v>
      </c>
    </row>
    <row r="47" spans="2:8" x14ac:dyDescent="0.25">
      <c r="B47" s="19" t="s">
        <v>57</v>
      </c>
      <c r="C47" s="15" t="s">
        <v>58</v>
      </c>
      <c r="D47" s="20">
        <v>40000</v>
      </c>
      <c r="E47" s="16" t="s">
        <v>30</v>
      </c>
      <c r="F47" s="17">
        <f>(22.66*1.1)</f>
        <v>24.926000000000002</v>
      </c>
      <c r="G47" s="17">
        <f>+F47*D47</f>
        <v>997040.00000000012</v>
      </c>
      <c r="H47" s="25"/>
    </row>
    <row r="48" spans="2:8" x14ac:dyDescent="0.25">
      <c r="B48" s="19" t="s">
        <v>59</v>
      </c>
      <c r="C48" s="15"/>
      <c r="D48" s="20"/>
      <c r="E48" s="16"/>
      <c r="F48" s="17"/>
      <c r="G48" s="17"/>
      <c r="H48" s="25"/>
    </row>
    <row r="49" spans="2:8" x14ac:dyDescent="0.25">
      <c r="B49" s="14" t="s">
        <v>60</v>
      </c>
      <c r="C49" s="15" t="s">
        <v>61</v>
      </c>
      <c r="D49" s="20">
        <v>200</v>
      </c>
      <c r="E49" s="16" t="s">
        <v>62</v>
      </c>
      <c r="F49" s="17">
        <f>(379.04)*1.1</f>
        <v>416.94400000000007</v>
      </c>
      <c r="G49" s="17">
        <f>+F49*D49</f>
        <v>83388.800000000017</v>
      </c>
      <c r="H49" s="25"/>
    </row>
    <row r="50" spans="2:8" x14ac:dyDescent="0.25">
      <c r="B50" s="14" t="s">
        <v>63</v>
      </c>
      <c r="C50" s="15" t="s">
        <v>64</v>
      </c>
      <c r="D50" s="20">
        <v>1</v>
      </c>
      <c r="E50" s="16" t="s">
        <v>62</v>
      </c>
      <c r="F50" s="17">
        <f>(36050*1.1)</f>
        <v>39655</v>
      </c>
      <c r="G50" s="17">
        <f t="shared" ref="G50:G57" si="3">+F50*D50</f>
        <v>39655</v>
      </c>
      <c r="H50" s="25"/>
    </row>
    <row r="51" spans="2:8" x14ac:dyDescent="0.25">
      <c r="B51" s="14" t="s">
        <v>65</v>
      </c>
      <c r="C51" s="15" t="s">
        <v>61</v>
      </c>
      <c r="D51" s="20">
        <v>100</v>
      </c>
      <c r="E51" s="16" t="s">
        <v>62</v>
      </c>
      <c r="F51" s="17">
        <v>1153.5999999999999</v>
      </c>
      <c r="G51" s="17">
        <f t="shared" si="3"/>
        <v>115359.99999999999</v>
      </c>
      <c r="H51" s="25"/>
    </row>
    <row r="52" spans="2:8" x14ac:dyDescent="0.25">
      <c r="B52" s="14" t="s">
        <v>66</v>
      </c>
      <c r="C52" s="15" t="s">
        <v>95</v>
      </c>
      <c r="D52" s="20">
        <v>10</v>
      </c>
      <c r="E52" s="16" t="s">
        <v>62</v>
      </c>
      <c r="F52" s="17">
        <f>(988.8*1.1)</f>
        <v>1087.68</v>
      </c>
      <c r="G52" s="17">
        <f t="shared" si="3"/>
        <v>10876.800000000001</v>
      </c>
      <c r="H52" s="25"/>
    </row>
    <row r="53" spans="2:8" x14ac:dyDescent="0.25">
      <c r="B53" s="19" t="s">
        <v>67</v>
      </c>
      <c r="C53" s="15"/>
      <c r="D53" s="20"/>
      <c r="E53" s="16"/>
      <c r="F53" s="17"/>
      <c r="G53" s="17"/>
      <c r="H53" s="25"/>
    </row>
    <row r="54" spans="2:8" x14ac:dyDescent="0.25">
      <c r="B54" s="14" t="s">
        <v>96</v>
      </c>
      <c r="C54" s="15" t="s">
        <v>68</v>
      </c>
      <c r="D54" s="20">
        <v>1</v>
      </c>
      <c r="E54" s="16" t="s">
        <v>62</v>
      </c>
      <c r="F54" s="17">
        <f>(100940*1.1)</f>
        <v>111034.00000000001</v>
      </c>
      <c r="G54" s="17">
        <f>+F54*D54</f>
        <v>111034.00000000001</v>
      </c>
      <c r="H54" s="25"/>
    </row>
    <row r="55" spans="2:8" x14ac:dyDescent="0.25">
      <c r="B55" s="19" t="s">
        <v>69</v>
      </c>
      <c r="C55" s="15"/>
      <c r="D55" s="20"/>
      <c r="E55" s="16"/>
      <c r="F55" s="17"/>
      <c r="G55" s="17"/>
      <c r="H55" s="25"/>
    </row>
    <row r="56" spans="2:8" x14ac:dyDescent="0.25">
      <c r="B56" s="14" t="s">
        <v>97</v>
      </c>
      <c r="C56" s="15" t="s">
        <v>70</v>
      </c>
      <c r="D56" s="20">
        <v>2</v>
      </c>
      <c r="E56" s="16" t="s">
        <v>62</v>
      </c>
      <c r="F56" s="17">
        <f>(147290*1.1)</f>
        <v>162019</v>
      </c>
      <c r="G56" s="17">
        <f t="shared" si="3"/>
        <v>324038</v>
      </c>
      <c r="H56" s="25"/>
    </row>
    <row r="57" spans="2:8" x14ac:dyDescent="0.25">
      <c r="B57" s="14" t="s">
        <v>98</v>
      </c>
      <c r="C57" s="15" t="s">
        <v>99</v>
      </c>
      <c r="D57" s="20">
        <v>1</v>
      </c>
      <c r="E57" s="16" t="s">
        <v>62</v>
      </c>
      <c r="F57" s="17">
        <v>39140</v>
      </c>
      <c r="G57" s="17">
        <f t="shared" si="3"/>
        <v>39140</v>
      </c>
      <c r="H57" s="25"/>
    </row>
    <row r="58" spans="2:8" x14ac:dyDescent="0.25">
      <c r="B58" s="19" t="s">
        <v>71</v>
      </c>
      <c r="C58" s="15"/>
      <c r="D58" s="20"/>
      <c r="E58" s="16"/>
      <c r="F58" s="17"/>
      <c r="G58" s="17"/>
      <c r="H58" s="25"/>
    </row>
    <row r="59" spans="2:8" x14ac:dyDescent="0.25">
      <c r="B59" s="14" t="s">
        <v>72</v>
      </c>
      <c r="C59" s="15" t="s">
        <v>68</v>
      </c>
      <c r="D59" s="20">
        <v>3</v>
      </c>
      <c r="E59" s="16" t="s">
        <v>30</v>
      </c>
      <c r="F59" s="17">
        <f>(10763.5*1.1)</f>
        <v>11839.85</v>
      </c>
      <c r="G59" s="17">
        <f>+F59*D59</f>
        <v>35519.550000000003</v>
      </c>
      <c r="H59" s="25"/>
    </row>
    <row r="60" spans="2:8" x14ac:dyDescent="0.25">
      <c r="B60" s="14" t="s">
        <v>73</v>
      </c>
      <c r="C60" s="15" t="s">
        <v>68</v>
      </c>
      <c r="D60" s="20">
        <v>1.5</v>
      </c>
      <c r="E60" s="16" t="s">
        <v>30</v>
      </c>
      <c r="F60" s="17">
        <f>(16995*1.1)</f>
        <v>18694.5</v>
      </c>
      <c r="G60" s="17">
        <f>+F60*D60</f>
        <v>28041.75</v>
      </c>
      <c r="H60" s="25"/>
    </row>
    <row r="61" spans="2:8" x14ac:dyDescent="0.25">
      <c r="B61" s="56" t="s">
        <v>74</v>
      </c>
      <c r="C61" s="57"/>
      <c r="D61" s="57"/>
      <c r="E61" s="57"/>
      <c r="F61" s="58"/>
      <c r="G61" s="59">
        <f>SUM(G46:G60)</f>
        <v>2024093.9000000001</v>
      </c>
    </row>
    <row r="62" spans="2:8" x14ac:dyDescent="0.25">
      <c r="B62" s="1"/>
      <c r="C62" s="18"/>
      <c r="D62" s="18"/>
      <c r="E62" s="18"/>
      <c r="F62" s="1"/>
      <c r="G62" s="1"/>
    </row>
    <row r="63" spans="2:8" x14ac:dyDescent="0.25">
      <c r="B63" s="41" t="s">
        <v>75</v>
      </c>
      <c r="C63" s="42"/>
      <c r="D63" s="43"/>
      <c r="E63" s="43"/>
      <c r="F63" s="44"/>
      <c r="G63" s="45"/>
    </row>
    <row r="64" spans="2:8" ht="24" x14ac:dyDescent="0.25">
      <c r="B64" s="62" t="s">
        <v>76</v>
      </c>
      <c r="C64" s="54" t="s">
        <v>55</v>
      </c>
      <c r="D64" s="54" t="s">
        <v>56</v>
      </c>
      <c r="E64" s="62" t="s">
        <v>77</v>
      </c>
      <c r="F64" s="54" t="s">
        <v>26</v>
      </c>
      <c r="G64" s="62" t="s">
        <v>27</v>
      </c>
    </row>
    <row r="65" spans="2:7" x14ac:dyDescent="0.25">
      <c r="B65" s="14" t="s">
        <v>78</v>
      </c>
      <c r="C65" s="15" t="s">
        <v>79</v>
      </c>
      <c r="D65" s="20">
        <v>1</v>
      </c>
      <c r="E65" s="16" t="s">
        <v>38</v>
      </c>
      <c r="F65" s="17">
        <f>(200000+(200000*0.06))*1.1</f>
        <v>233200.00000000003</v>
      </c>
      <c r="G65" s="17">
        <f>+F65*D65*1.07</f>
        <v>249524.00000000006</v>
      </c>
    </row>
    <row r="66" spans="2:7" x14ac:dyDescent="0.25">
      <c r="B66" s="63" t="s">
        <v>80</v>
      </c>
      <c r="C66" s="63"/>
      <c r="D66" s="63"/>
      <c r="E66" s="63"/>
      <c r="F66" s="63"/>
      <c r="G66" s="64">
        <f>G65</f>
        <v>249524.00000000006</v>
      </c>
    </row>
    <row r="67" spans="2:7" x14ac:dyDescent="0.25">
      <c r="B67" s="1"/>
      <c r="C67" s="1"/>
      <c r="D67" s="1"/>
      <c r="E67" s="1"/>
      <c r="F67" s="1"/>
      <c r="G67" s="1"/>
    </row>
    <row r="68" spans="2:7" x14ac:dyDescent="0.25">
      <c r="B68" s="65" t="s">
        <v>81</v>
      </c>
      <c r="C68" s="66"/>
      <c r="D68" s="66"/>
      <c r="E68" s="66"/>
      <c r="F68" s="66"/>
      <c r="G68" s="67">
        <f>G66+G61+G42+G36+G31</f>
        <v>3914175.5000000009</v>
      </c>
    </row>
    <row r="69" spans="2:7" x14ac:dyDescent="0.25">
      <c r="B69" s="68" t="s">
        <v>82</v>
      </c>
      <c r="C69" s="69"/>
      <c r="D69" s="69"/>
      <c r="E69" s="69"/>
      <c r="F69" s="69"/>
      <c r="G69" s="70">
        <f>G68*0.05</f>
        <v>195708.77500000005</v>
      </c>
    </row>
    <row r="70" spans="2:7" x14ac:dyDescent="0.25">
      <c r="B70" s="71" t="s">
        <v>83</v>
      </c>
      <c r="C70" s="72"/>
      <c r="D70" s="72"/>
      <c r="E70" s="72"/>
      <c r="F70" s="72"/>
      <c r="G70" s="73">
        <f>G69+G68</f>
        <v>4109884.2750000008</v>
      </c>
    </row>
    <row r="71" spans="2:7" x14ac:dyDescent="0.25">
      <c r="B71" s="68" t="s">
        <v>84</v>
      </c>
      <c r="C71" s="69"/>
      <c r="D71" s="69"/>
      <c r="E71" s="69"/>
      <c r="F71" s="69"/>
      <c r="G71" s="70">
        <f>G10</f>
        <v>5400000</v>
      </c>
    </row>
    <row r="72" spans="2:7" x14ac:dyDescent="0.25">
      <c r="B72" s="74" t="s">
        <v>85</v>
      </c>
      <c r="C72" s="75"/>
      <c r="D72" s="75"/>
      <c r="E72" s="75"/>
      <c r="F72" s="75"/>
      <c r="G72" s="67">
        <f>G71-G70</f>
        <v>1290115.7249999992</v>
      </c>
    </row>
    <row r="73" spans="2:7" x14ac:dyDescent="0.25">
      <c r="B73" s="21" t="s">
        <v>86</v>
      </c>
      <c r="C73" s="1"/>
      <c r="D73" s="1"/>
      <c r="E73" s="1"/>
      <c r="F73" s="1"/>
      <c r="G73" s="1"/>
    </row>
    <row r="74" spans="2:7" x14ac:dyDescent="0.25">
      <c r="B74" s="22" t="s">
        <v>87</v>
      </c>
      <c r="C74" s="1"/>
      <c r="D74" s="1"/>
      <c r="E74" s="1"/>
      <c r="F74" s="1"/>
      <c r="G74" s="1"/>
    </row>
    <row r="75" spans="2:7" x14ac:dyDescent="0.25">
      <c r="B75" s="21" t="s">
        <v>88</v>
      </c>
      <c r="C75" s="1"/>
      <c r="D75" s="1"/>
      <c r="E75" s="1"/>
      <c r="F75" s="1"/>
      <c r="G75" s="1"/>
    </row>
    <row r="76" spans="2:7" x14ac:dyDescent="0.25">
      <c r="B76" s="21" t="s">
        <v>89</v>
      </c>
      <c r="C76" s="1"/>
      <c r="D76" s="1"/>
      <c r="E76" s="1"/>
      <c r="F76" s="1"/>
      <c r="G76" s="1"/>
    </row>
    <row r="77" spans="2:7" x14ac:dyDescent="0.25">
      <c r="B77" s="21" t="s">
        <v>90</v>
      </c>
      <c r="C77" s="1"/>
      <c r="D77" s="1"/>
      <c r="E77" s="1"/>
      <c r="F77" s="1"/>
      <c r="G77" s="1"/>
    </row>
    <row r="78" spans="2:7" x14ac:dyDescent="0.25">
      <c r="B78" s="21" t="s">
        <v>91</v>
      </c>
      <c r="C78" s="1"/>
      <c r="D78" s="1"/>
      <c r="E78" s="1"/>
      <c r="F78" s="1"/>
      <c r="G78" s="1"/>
    </row>
    <row r="79" spans="2:7" x14ac:dyDescent="0.25">
      <c r="B79" s="21" t="s">
        <v>92</v>
      </c>
      <c r="C79" s="1"/>
      <c r="D79" s="1"/>
      <c r="E79" s="1"/>
      <c r="F79" s="1"/>
      <c r="G79" s="1"/>
    </row>
    <row r="80" spans="2:7" x14ac:dyDescent="0.25">
      <c r="B80" s="21" t="s">
        <v>93</v>
      </c>
      <c r="C80" s="1"/>
      <c r="D80" s="1"/>
      <c r="E80" s="1"/>
      <c r="F80" s="1"/>
      <c r="G80" s="1"/>
    </row>
    <row r="81" spans="2:7" x14ac:dyDescent="0.25">
      <c r="B81" s="1"/>
      <c r="C81" s="1"/>
      <c r="D81" s="1"/>
      <c r="E81" s="1"/>
      <c r="F81" s="1"/>
      <c r="G81" s="1"/>
    </row>
    <row r="82" spans="2:7" ht="15.75" thickBot="1" x14ac:dyDescent="0.3">
      <c r="B82" s="109" t="s">
        <v>107</v>
      </c>
      <c r="C82" s="110"/>
      <c r="D82" s="76"/>
      <c r="E82" s="77"/>
    </row>
    <row r="83" spans="2:7" x14ac:dyDescent="0.25">
      <c r="B83" s="78" t="s">
        <v>76</v>
      </c>
      <c r="C83" s="79" t="s">
        <v>108</v>
      </c>
      <c r="D83" s="80" t="s">
        <v>109</v>
      </c>
      <c r="E83" s="77"/>
    </row>
    <row r="84" spans="2:7" x14ac:dyDescent="0.25">
      <c r="B84" s="81" t="s">
        <v>110</v>
      </c>
      <c r="C84" s="82">
        <f>G31</f>
        <v>1461697.6000000003</v>
      </c>
      <c r="D84" s="83">
        <f>(C84/C90)</f>
        <v>0.35565419904676032</v>
      </c>
      <c r="E84" s="77"/>
    </row>
    <row r="85" spans="2:7" x14ac:dyDescent="0.25">
      <c r="B85" s="81" t="s">
        <v>111</v>
      </c>
      <c r="C85" s="82">
        <f>G36</f>
        <v>104940.00000000001</v>
      </c>
      <c r="D85" s="83">
        <v>0</v>
      </c>
      <c r="E85" s="77"/>
    </row>
    <row r="86" spans="2:7" x14ac:dyDescent="0.25">
      <c r="B86" s="81" t="s">
        <v>112</v>
      </c>
      <c r="C86" s="82">
        <f>G42</f>
        <v>73920</v>
      </c>
      <c r="D86" s="83">
        <f>(C86/C90)</f>
        <v>1.7985907887880855E-2</v>
      </c>
      <c r="E86" s="77"/>
    </row>
    <row r="87" spans="2:7" x14ac:dyDescent="0.25">
      <c r="B87" s="81" t="s">
        <v>54</v>
      </c>
      <c r="C87" s="82">
        <f>G61</f>
        <v>2024093.9000000001</v>
      </c>
      <c r="D87" s="83">
        <f>(C87/C90)</f>
        <v>0.49249413476490161</v>
      </c>
      <c r="E87" s="77"/>
    </row>
    <row r="88" spans="2:7" x14ac:dyDescent="0.25">
      <c r="B88" s="81" t="s">
        <v>113</v>
      </c>
      <c r="C88" s="84">
        <f>G65</f>
        <v>249524.00000000006</v>
      </c>
      <c r="D88" s="83">
        <f>(C88/C90)</f>
        <v>6.0713145019150212E-2</v>
      </c>
      <c r="E88" s="85"/>
    </row>
    <row r="89" spans="2:7" x14ac:dyDescent="0.25">
      <c r="B89" s="81" t="s">
        <v>114</v>
      </c>
      <c r="C89" s="84">
        <f>G69</f>
        <v>195708.77500000005</v>
      </c>
      <c r="D89" s="83">
        <f>(C89/C90)</f>
        <v>4.761904761904763E-2</v>
      </c>
      <c r="E89" s="85"/>
    </row>
    <row r="90" spans="2:7" ht="15.75" thickBot="1" x14ac:dyDescent="0.3">
      <c r="B90" s="86" t="s">
        <v>115</v>
      </c>
      <c r="C90" s="87">
        <f>SUM(C84:C89)</f>
        <v>4109884.2750000004</v>
      </c>
      <c r="D90" s="88">
        <f>SUM(D84:D89)</f>
        <v>0.97446643433774072</v>
      </c>
      <c r="E90" s="85"/>
    </row>
    <row r="91" spans="2:7" x14ac:dyDescent="0.25">
      <c r="B91" s="89"/>
      <c r="C91" s="90"/>
      <c r="D91" s="90"/>
      <c r="E91" s="90"/>
    </row>
    <row r="92" spans="2:7" ht="15.75" thickBot="1" x14ac:dyDescent="0.3">
      <c r="B92" s="91"/>
      <c r="C92" s="90"/>
      <c r="D92" s="90"/>
      <c r="E92" s="90"/>
    </row>
    <row r="93" spans="2:7" ht="15.75" thickBot="1" x14ac:dyDescent="0.3">
      <c r="B93" s="111" t="s">
        <v>116</v>
      </c>
      <c r="C93" s="112"/>
      <c r="D93" s="112"/>
      <c r="E93" s="113"/>
    </row>
    <row r="94" spans="2:7" x14ac:dyDescent="0.25">
      <c r="B94" s="92" t="s">
        <v>117</v>
      </c>
      <c r="C94" s="93">
        <v>20000</v>
      </c>
      <c r="D94" s="93">
        <f>G7</f>
        <v>30000</v>
      </c>
      <c r="E94" s="93">
        <v>35000</v>
      </c>
    </row>
    <row r="95" spans="2:7" ht="15.75" thickBot="1" x14ac:dyDescent="0.3">
      <c r="B95" s="86" t="s">
        <v>118</v>
      </c>
      <c r="C95" s="87">
        <f>(G69/C94)</f>
        <v>9.7854387500000026</v>
      </c>
      <c r="D95" s="87">
        <f>(G69/D94)</f>
        <v>6.5236258333333348</v>
      </c>
      <c r="E95" s="94">
        <f>(G69/E94)</f>
        <v>5.591679285714287</v>
      </c>
    </row>
  </sheetData>
  <mergeCells count="10">
    <mergeCell ref="B82:C82"/>
    <mergeCell ref="B93:E93"/>
    <mergeCell ref="E13:F13"/>
    <mergeCell ref="B15:G15"/>
    <mergeCell ref="E7:F7"/>
    <mergeCell ref="E8:F8"/>
    <mergeCell ref="E9:F9"/>
    <mergeCell ref="E10:F10"/>
    <mergeCell ref="E11:F11"/>
    <mergeCell ref="E12:F12"/>
  </mergeCells>
  <pageMargins left="0.7" right="0.7" top="0.75" bottom="0.75" header="0.3" footer="0.3"/>
  <pageSetup paperSize="170" scale="81" orientation="portrait" r:id="rId1"/>
  <ignoredErrors>
    <ignoredError sqref="F2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T17"/>
  <sheetViews>
    <sheetView workbookViewId="0">
      <selection activeCell="T4" sqref="T4:T13"/>
    </sheetView>
  </sheetViews>
  <sheetFormatPr baseColWidth="10" defaultRowHeight="15" x14ac:dyDescent="0.25"/>
  <cols>
    <col min="8" max="8" width="18" bestFit="1" customWidth="1"/>
    <col min="9" max="9" width="12.7109375" bestFit="1" customWidth="1"/>
  </cols>
  <sheetData>
    <row r="3" spans="5:20" x14ac:dyDescent="0.25">
      <c r="E3" t="s">
        <v>55</v>
      </c>
      <c r="F3" t="s">
        <v>56</v>
      </c>
      <c r="G3" t="s">
        <v>25</v>
      </c>
      <c r="H3" t="s">
        <v>26</v>
      </c>
      <c r="I3" t="s">
        <v>27</v>
      </c>
    </row>
    <row r="4" spans="5:20" x14ac:dyDescent="0.25">
      <c r="E4" t="s">
        <v>58</v>
      </c>
      <c r="F4">
        <v>40000</v>
      </c>
      <c r="G4" t="s">
        <v>30</v>
      </c>
      <c r="H4">
        <v>22</v>
      </c>
      <c r="I4">
        <v>880000</v>
      </c>
      <c r="J4">
        <v>3</v>
      </c>
      <c r="K4">
        <v>100</v>
      </c>
      <c r="L4" s="26">
        <f>(H4*J4)/K4</f>
        <v>0.66</v>
      </c>
      <c r="M4" s="26">
        <f>H4+L4</f>
        <v>22.66</v>
      </c>
      <c r="P4" s="17">
        <v>20000</v>
      </c>
      <c r="Q4">
        <v>3</v>
      </c>
      <c r="R4">
        <v>100</v>
      </c>
      <c r="S4">
        <f>(P4*Q4)/R4</f>
        <v>600</v>
      </c>
      <c r="T4" s="28">
        <f>S4+P4</f>
        <v>20600</v>
      </c>
    </row>
    <row r="5" spans="5:20" x14ac:dyDescent="0.25">
      <c r="J5">
        <v>3</v>
      </c>
      <c r="K5">
        <v>100</v>
      </c>
      <c r="L5" s="26">
        <f t="shared" ref="L5:L17" si="0">(H5*J5)/100</f>
        <v>0</v>
      </c>
      <c r="M5" s="26">
        <f t="shared" ref="M5:M17" si="1">H5+L5</f>
        <v>0</v>
      </c>
      <c r="P5" s="17">
        <v>20000</v>
      </c>
      <c r="Q5">
        <v>3</v>
      </c>
      <c r="R5">
        <v>100</v>
      </c>
      <c r="S5">
        <f t="shared" ref="S5:S13" si="2">(P5*Q5)/R5</f>
        <v>600</v>
      </c>
      <c r="T5" s="28">
        <f t="shared" ref="T5:T13" si="3">S5+P5</f>
        <v>20600</v>
      </c>
    </row>
    <row r="6" spans="5:20" x14ac:dyDescent="0.25">
      <c r="E6" t="s">
        <v>61</v>
      </c>
      <c r="F6">
        <v>200</v>
      </c>
      <c r="G6" t="s">
        <v>62</v>
      </c>
      <c r="H6">
        <v>368</v>
      </c>
      <c r="I6">
        <v>73600</v>
      </c>
      <c r="J6">
        <v>3</v>
      </c>
      <c r="K6">
        <v>100</v>
      </c>
      <c r="L6" s="26">
        <f t="shared" si="0"/>
        <v>11.04</v>
      </c>
      <c r="M6" s="26">
        <f t="shared" si="1"/>
        <v>379.04</v>
      </c>
      <c r="P6" s="17">
        <v>15000</v>
      </c>
      <c r="Q6">
        <v>3</v>
      </c>
      <c r="R6">
        <v>100</v>
      </c>
      <c r="S6">
        <f t="shared" si="2"/>
        <v>450</v>
      </c>
      <c r="T6" s="28">
        <f t="shared" si="3"/>
        <v>15450</v>
      </c>
    </row>
    <row r="7" spans="5:20" x14ac:dyDescent="0.25">
      <c r="E7" t="s">
        <v>64</v>
      </c>
      <c r="F7">
        <v>1</v>
      </c>
      <c r="G7" t="s">
        <v>62</v>
      </c>
      <c r="H7">
        <v>35000</v>
      </c>
      <c r="I7">
        <v>35000</v>
      </c>
      <c r="J7">
        <v>3</v>
      </c>
      <c r="K7">
        <v>100</v>
      </c>
      <c r="L7" s="26">
        <f t="shared" si="0"/>
        <v>1050</v>
      </c>
      <c r="M7" s="27">
        <f t="shared" si="1"/>
        <v>36050</v>
      </c>
      <c r="P7" s="17">
        <v>20000</v>
      </c>
      <c r="Q7">
        <v>3</v>
      </c>
      <c r="R7">
        <v>100</v>
      </c>
      <c r="S7">
        <f t="shared" si="2"/>
        <v>600</v>
      </c>
      <c r="T7" s="28">
        <f t="shared" si="3"/>
        <v>20600</v>
      </c>
    </row>
    <row r="8" spans="5:20" x14ac:dyDescent="0.25">
      <c r="E8" t="s">
        <v>61</v>
      </c>
      <c r="F8">
        <v>100</v>
      </c>
      <c r="G8" t="s">
        <v>62</v>
      </c>
      <c r="H8">
        <v>1120</v>
      </c>
      <c r="I8">
        <v>112000</v>
      </c>
      <c r="J8">
        <v>3</v>
      </c>
      <c r="K8">
        <v>100</v>
      </c>
      <c r="L8" s="26">
        <f t="shared" si="0"/>
        <v>33.6</v>
      </c>
      <c r="M8" s="27">
        <f t="shared" si="1"/>
        <v>1153.5999999999999</v>
      </c>
      <c r="P8" s="17">
        <v>20000</v>
      </c>
      <c r="Q8">
        <v>3</v>
      </c>
      <c r="R8">
        <v>100</v>
      </c>
      <c r="S8">
        <f t="shared" si="2"/>
        <v>600</v>
      </c>
      <c r="T8" s="28">
        <f t="shared" si="3"/>
        <v>20600</v>
      </c>
    </row>
    <row r="9" spans="5:20" x14ac:dyDescent="0.25">
      <c r="E9" t="s">
        <v>95</v>
      </c>
      <c r="F9">
        <v>10</v>
      </c>
      <c r="G9" t="s">
        <v>62</v>
      </c>
      <c r="H9">
        <v>960</v>
      </c>
      <c r="I9">
        <v>9600</v>
      </c>
      <c r="J9">
        <v>3</v>
      </c>
      <c r="K9">
        <v>100</v>
      </c>
      <c r="L9" s="26">
        <f t="shared" si="0"/>
        <v>28.8</v>
      </c>
      <c r="M9" s="27">
        <f t="shared" si="1"/>
        <v>988.8</v>
      </c>
      <c r="P9" s="17">
        <v>20000</v>
      </c>
      <c r="Q9">
        <v>3</v>
      </c>
      <c r="R9">
        <v>100</v>
      </c>
      <c r="S9">
        <f t="shared" si="2"/>
        <v>600</v>
      </c>
      <c r="T9" s="28">
        <f t="shared" si="3"/>
        <v>20600</v>
      </c>
    </row>
    <row r="10" spans="5:20" x14ac:dyDescent="0.25">
      <c r="J10">
        <v>3</v>
      </c>
      <c r="K10">
        <v>100</v>
      </c>
      <c r="L10" s="26">
        <f t="shared" si="0"/>
        <v>0</v>
      </c>
      <c r="M10" s="26">
        <f t="shared" si="1"/>
        <v>0</v>
      </c>
      <c r="P10" s="17">
        <v>20000</v>
      </c>
      <c r="Q10">
        <v>3</v>
      </c>
      <c r="R10">
        <v>100</v>
      </c>
      <c r="S10">
        <f t="shared" si="2"/>
        <v>600</v>
      </c>
      <c r="T10" s="28">
        <f t="shared" si="3"/>
        <v>20600</v>
      </c>
    </row>
    <row r="11" spans="5:20" x14ac:dyDescent="0.25">
      <c r="E11" t="s">
        <v>68</v>
      </c>
      <c r="F11">
        <v>1</v>
      </c>
      <c r="G11" t="s">
        <v>62</v>
      </c>
      <c r="H11">
        <v>98000</v>
      </c>
      <c r="I11">
        <v>98000</v>
      </c>
      <c r="J11">
        <v>3</v>
      </c>
      <c r="K11">
        <v>100</v>
      </c>
      <c r="L11" s="26">
        <f t="shared" si="0"/>
        <v>2940</v>
      </c>
      <c r="M11" s="27">
        <f t="shared" si="1"/>
        <v>100940</v>
      </c>
      <c r="P11" s="17">
        <v>20000</v>
      </c>
      <c r="Q11">
        <v>3</v>
      </c>
      <c r="R11">
        <v>100</v>
      </c>
      <c r="S11">
        <f t="shared" si="2"/>
        <v>600</v>
      </c>
      <c r="T11" s="28">
        <f t="shared" si="3"/>
        <v>20600</v>
      </c>
    </row>
    <row r="12" spans="5:20" x14ac:dyDescent="0.25">
      <c r="J12">
        <v>3</v>
      </c>
      <c r="K12">
        <v>100</v>
      </c>
      <c r="L12" s="26">
        <f t="shared" si="0"/>
        <v>0</v>
      </c>
      <c r="M12" s="26">
        <f t="shared" si="1"/>
        <v>0</v>
      </c>
      <c r="P12" s="17">
        <v>20000</v>
      </c>
      <c r="Q12">
        <v>3</v>
      </c>
      <c r="R12">
        <v>100</v>
      </c>
      <c r="S12">
        <f t="shared" si="2"/>
        <v>600</v>
      </c>
      <c r="T12" s="28">
        <f t="shared" si="3"/>
        <v>20600</v>
      </c>
    </row>
    <row r="13" spans="5:20" x14ac:dyDescent="0.25">
      <c r="E13" t="s">
        <v>70</v>
      </c>
      <c r="F13">
        <v>2</v>
      </c>
      <c r="G13" t="s">
        <v>62</v>
      </c>
      <c r="H13">
        <v>143000</v>
      </c>
      <c r="I13">
        <v>286000</v>
      </c>
      <c r="J13">
        <v>3</v>
      </c>
      <c r="K13">
        <v>100</v>
      </c>
      <c r="L13" s="26">
        <f t="shared" si="0"/>
        <v>4290</v>
      </c>
      <c r="M13" s="27">
        <f t="shared" si="1"/>
        <v>147290</v>
      </c>
      <c r="P13" s="17">
        <v>15000</v>
      </c>
      <c r="Q13">
        <v>3</v>
      </c>
      <c r="R13">
        <v>100</v>
      </c>
      <c r="S13">
        <f t="shared" si="2"/>
        <v>450</v>
      </c>
      <c r="T13" s="28">
        <f t="shared" si="3"/>
        <v>15450</v>
      </c>
    </row>
    <row r="14" spans="5:20" x14ac:dyDescent="0.25">
      <c r="E14" t="s">
        <v>99</v>
      </c>
      <c r="F14">
        <v>1</v>
      </c>
      <c r="G14" t="s">
        <v>62</v>
      </c>
      <c r="H14">
        <v>38000</v>
      </c>
      <c r="I14">
        <v>38000</v>
      </c>
      <c r="J14">
        <v>3</v>
      </c>
      <c r="K14">
        <v>100</v>
      </c>
      <c r="L14" s="26">
        <f t="shared" si="0"/>
        <v>1140</v>
      </c>
      <c r="M14" s="27">
        <f t="shared" si="1"/>
        <v>39140</v>
      </c>
      <c r="Q14">
        <v>3</v>
      </c>
      <c r="R14">
        <v>100</v>
      </c>
      <c r="S14">
        <f t="shared" ref="S14:S17" si="4">(O14*Q14)/100</f>
        <v>0</v>
      </c>
    </row>
    <row r="15" spans="5:20" x14ac:dyDescent="0.25">
      <c r="J15">
        <v>3</v>
      </c>
      <c r="K15">
        <v>100</v>
      </c>
      <c r="L15" s="26">
        <f t="shared" si="0"/>
        <v>0</v>
      </c>
      <c r="M15" s="26">
        <f t="shared" si="1"/>
        <v>0</v>
      </c>
      <c r="Q15">
        <v>3</v>
      </c>
      <c r="R15">
        <v>100</v>
      </c>
      <c r="S15">
        <f t="shared" si="4"/>
        <v>0</v>
      </c>
    </row>
    <row r="16" spans="5:20" x14ac:dyDescent="0.25">
      <c r="E16" t="s">
        <v>68</v>
      </c>
      <c r="F16">
        <v>3</v>
      </c>
      <c r="G16" t="s">
        <v>30</v>
      </c>
      <c r="H16">
        <v>10450</v>
      </c>
      <c r="I16">
        <v>31350</v>
      </c>
      <c r="J16">
        <v>3</v>
      </c>
      <c r="K16">
        <v>100</v>
      </c>
      <c r="L16" s="26">
        <f t="shared" si="0"/>
        <v>313.5</v>
      </c>
      <c r="M16" s="27">
        <f t="shared" si="1"/>
        <v>10763.5</v>
      </c>
      <c r="Q16">
        <v>3</v>
      </c>
      <c r="R16">
        <v>100</v>
      </c>
      <c r="S16">
        <f t="shared" si="4"/>
        <v>0</v>
      </c>
    </row>
    <row r="17" spans="5:19" x14ac:dyDescent="0.25">
      <c r="E17" t="s">
        <v>68</v>
      </c>
      <c r="F17">
        <v>1.5</v>
      </c>
      <c r="G17" t="s">
        <v>30</v>
      </c>
      <c r="H17">
        <v>16500</v>
      </c>
      <c r="I17">
        <v>24750</v>
      </c>
      <c r="J17">
        <v>3</v>
      </c>
      <c r="K17">
        <v>100</v>
      </c>
      <c r="L17" s="26">
        <f t="shared" si="0"/>
        <v>495</v>
      </c>
      <c r="M17" s="27">
        <f t="shared" si="1"/>
        <v>16995</v>
      </c>
      <c r="Q17">
        <v>3</v>
      </c>
      <c r="R17">
        <v>100</v>
      </c>
      <c r="S17">
        <f t="shared" si="4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5"/>
  <sheetViews>
    <sheetView tabSelected="1" zoomScale="120" zoomScaleNormal="120" workbookViewId="0">
      <selection activeCell="J18" sqref="J18"/>
    </sheetView>
  </sheetViews>
  <sheetFormatPr baseColWidth="10" defaultRowHeight="15" x14ac:dyDescent="0.25"/>
  <cols>
    <col min="1" max="1" width="5.42578125" style="3" customWidth="1"/>
    <col min="2" max="2" width="21.7109375" style="3" customWidth="1"/>
    <col min="3" max="3" width="11.5703125" style="3"/>
    <col min="4" max="4" width="11.42578125" style="3" customWidth="1"/>
    <col min="5" max="5" width="11.5703125" style="3"/>
    <col min="6" max="6" width="11" style="3" customWidth="1"/>
    <col min="7" max="7" width="14.7109375" style="3" customWidth="1"/>
    <col min="8" max="257" width="11.5703125" style="3"/>
    <col min="258" max="258" width="15.5703125" style="3" customWidth="1"/>
    <col min="259" max="513" width="11.5703125" style="3"/>
    <col min="514" max="514" width="15.5703125" style="3" customWidth="1"/>
    <col min="515" max="769" width="11.5703125" style="3"/>
    <col min="770" max="770" width="15.5703125" style="3" customWidth="1"/>
    <col min="771" max="1025" width="11.5703125" style="3"/>
    <col min="1026" max="1026" width="15.5703125" style="3" customWidth="1"/>
    <col min="1027" max="1281" width="11.5703125" style="3"/>
    <col min="1282" max="1282" width="15.5703125" style="3" customWidth="1"/>
    <col min="1283" max="1537" width="11.5703125" style="3"/>
    <col min="1538" max="1538" width="15.5703125" style="3" customWidth="1"/>
    <col min="1539" max="1793" width="11.5703125" style="3"/>
    <col min="1794" max="1794" width="15.5703125" style="3" customWidth="1"/>
    <col min="1795" max="2049" width="11.5703125" style="3"/>
    <col min="2050" max="2050" width="15.5703125" style="3" customWidth="1"/>
    <col min="2051" max="2305" width="11.5703125" style="3"/>
    <col min="2306" max="2306" width="15.5703125" style="3" customWidth="1"/>
    <col min="2307" max="2561" width="11.5703125" style="3"/>
    <col min="2562" max="2562" width="15.5703125" style="3" customWidth="1"/>
    <col min="2563" max="2817" width="11.5703125" style="3"/>
    <col min="2818" max="2818" width="15.5703125" style="3" customWidth="1"/>
    <col min="2819" max="3073" width="11.5703125" style="3"/>
    <col min="3074" max="3074" width="15.5703125" style="3" customWidth="1"/>
    <col min="3075" max="3329" width="11.5703125" style="3"/>
    <col min="3330" max="3330" width="15.5703125" style="3" customWidth="1"/>
    <col min="3331" max="3585" width="11.5703125" style="3"/>
    <col min="3586" max="3586" width="15.5703125" style="3" customWidth="1"/>
    <col min="3587" max="3841" width="11.5703125" style="3"/>
    <col min="3842" max="3842" width="15.5703125" style="3" customWidth="1"/>
    <col min="3843" max="4097" width="11.5703125" style="3"/>
    <col min="4098" max="4098" width="15.5703125" style="3" customWidth="1"/>
    <col min="4099" max="4353" width="11.5703125" style="3"/>
    <col min="4354" max="4354" width="15.5703125" style="3" customWidth="1"/>
    <col min="4355" max="4609" width="11.5703125" style="3"/>
    <col min="4610" max="4610" width="15.5703125" style="3" customWidth="1"/>
    <col min="4611" max="4865" width="11.5703125" style="3"/>
    <col min="4866" max="4866" width="15.5703125" style="3" customWidth="1"/>
    <col min="4867" max="5121" width="11.5703125" style="3"/>
    <col min="5122" max="5122" width="15.5703125" style="3" customWidth="1"/>
    <col min="5123" max="5377" width="11.5703125" style="3"/>
    <col min="5378" max="5378" width="15.5703125" style="3" customWidth="1"/>
    <col min="5379" max="5633" width="11.5703125" style="3"/>
    <col min="5634" max="5634" width="15.5703125" style="3" customWidth="1"/>
    <col min="5635" max="5889" width="11.5703125" style="3"/>
    <col min="5890" max="5890" width="15.5703125" style="3" customWidth="1"/>
    <col min="5891" max="6145" width="11.5703125" style="3"/>
    <col min="6146" max="6146" width="15.5703125" style="3" customWidth="1"/>
    <col min="6147" max="6401" width="11.5703125" style="3"/>
    <col min="6402" max="6402" width="15.5703125" style="3" customWidth="1"/>
    <col min="6403" max="6657" width="11.5703125" style="3"/>
    <col min="6658" max="6658" width="15.5703125" style="3" customWidth="1"/>
    <col min="6659" max="6913" width="11.5703125" style="3"/>
    <col min="6914" max="6914" width="15.5703125" style="3" customWidth="1"/>
    <col min="6915" max="7169" width="11.5703125" style="3"/>
    <col min="7170" max="7170" width="15.5703125" style="3" customWidth="1"/>
    <col min="7171" max="7425" width="11.5703125" style="3"/>
    <col min="7426" max="7426" width="15.5703125" style="3" customWidth="1"/>
    <col min="7427" max="7681" width="11.5703125" style="3"/>
    <col min="7682" max="7682" width="15.5703125" style="3" customWidth="1"/>
    <col min="7683" max="7937" width="11.5703125" style="3"/>
    <col min="7938" max="7938" width="15.5703125" style="3" customWidth="1"/>
    <col min="7939" max="8193" width="11.5703125" style="3"/>
    <col min="8194" max="8194" width="15.5703125" style="3" customWidth="1"/>
    <col min="8195" max="8449" width="11.5703125" style="3"/>
    <col min="8450" max="8450" width="15.5703125" style="3" customWidth="1"/>
    <col min="8451" max="8705" width="11.5703125" style="3"/>
    <col min="8706" max="8706" width="15.5703125" style="3" customWidth="1"/>
    <col min="8707" max="8961" width="11.5703125" style="3"/>
    <col min="8962" max="8962" width="15.5703125" style="3" customWidth="1"/>
    <col min="8963" max="9217" width="11.5703125" style="3"/>
    <col min="9218" max="9218" width="15.5703125" style="3" customWidth="1"/>
    <col min="9219" max="9473" width="11.5703125" style="3"/>
    <col min="9474" max="9474" width="15.5703125" style="3" customWidth="1"/>
    <col min="9475" max="9729" width="11.5703125" style="3"/>
    <col min="9730" max="9730" width="15.5703125" style="3" customWidth="1"/>
    <col min="9731" max="9985" width="11.5703125" style="3"/>
    <col min="9986" max="9986" width="15.5703125" style="3" customWidth="1"/>
    <col min="9987" max="10241" width="11.5703125" style="3"/>
    <col min="10242" max="10242" width="15.5703125" style="3" customWidth="1"/>
    <col min="10243" max="10497" width="11.5703125" style="3"/>
    <col min="10498" max="10498" width="15.5703125" style="3" customWidth="1"/>
    <col min="10499" max="10753" width="11.5703125" style="3"/>
    <col min="10754" max="10754" width="15.5703125" style="3" customWidth="1"/>
    <col min="10755" max="11009" width="11.5703125" style="3"/>
    <col min="11010" max="11010" width="15.5703125" style="3" customWidth="1"/>
    <col min="11011" max="11265" width="11.5703125" style="3"/>
    <col min="11266" max="11266" width="15.5703125" style="3" customWidth="1"/>
    <col min="11267" max="11521" width="11.5703125" style="3"/>
    <col min="11522" max="11522" width="15.5703125" style="3" customWidth="1"/>
    <col min="11523" max="11777" width="11.5703125" style="3"/>
    <col min="11778" max="11778" width="15.5703125" style="3" customWidth="1"/>
    <col min="11779" max="12033" width="11.5703125" style="3"/>
    <col min="12034" max="12034" width="15.5703125" style="3" customWidth="1"/>
    <col min="12035" max="12289" width="11.5703125" style="3"/>
    <col min="12290" max="12290" width="15.5703125" style="3" customWidth="1"/>
    <col min="12291" max="12545" width="11.5703125" style="3"/>
    <col min="12546" max="12546" width="15.5703125" style="3" customWidth="1"/>
    <col min="12547" max="12801" width="11.5703125" style="3"/>
    <col min="12802" max="12802" width="15.5703125" style="3" customWidth="1"/>
    <col min="12803" max="13057" width="11.5703125" style="3"/>
    <col min="13058" max="13058" width="15.5703125" style="3" customWidth="1"/>
    <col min="13059" max="13313" width="11.5703125" style="3"/>
    <col min="13314" max="13314" width="15.5703125" style="3" customWidth="1"/>
    <col min="13315" max="13569" width="11.5703125" style="3"/>
    <col min="13570" max="13570" width="15.5703125" style="3" customWidth="1"/>
    <col min="13571" max="13825" width="11.5703125" style="3"/>
    <col min="13826" max="13826" width="15.5703125" style="3" customWidth="1"/>
    <col min="13827" max="14081" width="11.5703125" style="3"/>
    <col min="14082" max="14082" width="15.5703125" style="3" customWidth="1"/>
    <col min="14083" max="14337" width="11.5703125" style="3"/>
    <col min="14338" max="14338" width="15.5703125" style="3" customWidth="1"/>
    <col min="14339" max="14593" width="11.5703125" style="3"/>
    <col min="14594" max="14594" width="15.5703125" style="3" customWidth="1"/>
    <col min="14595" max="14849" width="11.5703125" style="3"/>
    <col min="14850" max="14850" width="15.5703125" style="3" customWidth="1"/>
    <col min="14851" max="15105" width="11.5703125" style="3"/>
    <col min="15106" max="15106" width="15.5703125" style="3" customWidth="1"/>
    <col min="15107" max="15361" width="11.5703125" style="3"/>
    <col min="15362" max="15362" width="15.5703125" style="3" customWidth="1"/>
    <col min="15363" max="15617" width="11.5703125" style="3"/>
    <col min="15618" max="15618" width="15.5703125" style="3" customWidth="1"/>
    <col min="15619" max="15873" width="11.5703125" style="3"/>
    <col min="15874" max="15874" width="15.5703125" style="3" customWidth="1"/>
    <col min="15875" max="16129" width="11.5703125" style="3"/>
    <col min="16130" max="16130" width="15.5703125" style="3" customWidth="1"/>
    <col min="16131" max="16384" width="11.5703125" style="3"/>
  </cols>
  <sheetData>
    <row r="1" spans="2:7" x14ac:dyDescent="0.25">
      <c r="B1" s="1"/>
      <c r="C1" s="1"/>
      <c r="D1" s="1"/>
      <c r="E1" s="2"/>
      <c r="F1" s="1"/>
      <c r="G1" s="1"/>
    </row>
    <row r="2" spans="2:7" x14ac:dyDescent="0.25">
      <c r="B2" s="1"/>
      <c r="C2" s="1"/>
      <c r="D2" s="1"/>
      <c r="E2" s="2"/>
      <c r="F2" s="1"/>
      <c r="G2" s="1"/>
    </row>
    <row r="3" spans="2:7" x14ac:dyDescent="0.25">
      <c r="B3" s="1"/>
      <c r="C3" s="1"/>
      <c r="D3" s="1"/>
      <c r="E3" s="2"/>
      <c r="F3" s="1"/>
      <c r="G3" s="1"/>
    </row>
    <row r="4" spans="2:7" x14ac:dyDescent="0.25">
      <c r="B4" s="1"/>
      <c r="C4" s="1"/>
      <c r="D4" s="1"/>
      <c r="E4" s="2"/>
      <c r="F4" s="1"/>
      <c r="G4" s="1"/>
    </row>
    <row r="5" spans="2:7" x14ac:dyDescent="0.25">
      <c r="B5" s="1"/>
      <c r="C5" s="1"/>
      <c r="D5" s="1"/>
      <c r="E5" s="2"/>
      <c r="F5" s="1"/>
      <c r="G5" s="1"/>
    </row>
    <row r="6" spans="2:7" x14ac:dyDescent="0.25">
      <c r="B6" s="1"/>
      <c r="C6" s="1"/>
      <c r="D6" s="1"/>
      <c r="E6" s="2"/>
      <c r="F6" s="1"/>
      <c r="G6" s="1"/>
    </row>
    <row r="7" spans="2:7" ht="14.65" customHeight="1" x14ac:dyDescent="0.25">
      <c r="B7" s="31" t="s">
        <v>0</v>
      </c>
      <c r="C7" s="15" t="s">
        <v>1</v>
      </c>
      <c r="D7" s="1"/>
      <c r="E7" s="118" t="s">
        <v>105</v>
      </c>
      <c r="F7" s="119"/>
      <c r="G7" s="4">
        <v>45000</v>
      </c>
    </row>
    <row r="8" spans="2:7" x14ac:dyDescent="0.25">
      <c r="B8" s="95" t="s">
        <v>2</v>
      </c>
      <c r="C8" s="23" t="s">
        <v>94</v>
      </c>
      <c r="D8" s="1"/>
      <c r="E8" s="120" t="s">
        <v>3</v>
      </c>
      <c r="F8" s="120"/>
      <c r="G8" s="7" t="s">
        <v>104</v>
      </c>
    </row>
    <row r="9" spans="2:7" x14ac:dyDescent="0.25">
      <c r="B9" s="95" t="s">
        <v>4</v>
      </c>
      <c r="C9" s="15" t="s">
        <v>5</v>
      </c>
      <c r="D9" s="1"/>
      <c r="E9" s="120" t="s">
        <v>6</v>
      </c>
      <c r="F9" s="120"/>
      <c r="G9" s="8">
        <v>180</v>
      </c>
    </row>
    <row r="10" spans="2:7" ht="21.75" customHeight="1" x14ac:dyDescent="0.25">
      <c r="B10" s="95" t="s">
        <v>7</v>
      </c>
      <c r="C10" s="15" t="s">
        <v>8</v>
      </c>
      <c r="D10" s="1"/>
      <c r="E10" s="121" t="s">
        <v>9</v>
      </c>
      <c r="F10" s="122"/>
      <c r="G10" s="29">
        <f>+G9*G7</f>
        <v>8100000</v>
      </c>
    </row>
    <row r="11" spans="2:7" x14ac:dyDescent="0.25">
      <c r="B11" s="95" t="s">
        <v>10</v>
      </c>
      <c r="C11" s="15" t="s">
        <v>11</v>
      </c>
      <c r="D11" s="1"/>
      <c r="E11" s="121" t="s">
        <v>12</v>
      </c>
      <c r="F11" s="122"/>
      <c r="G11" s="9" t="s">
        <v>13</v>
      </c>
    </row>
    <row r="12" spans="2:7" x14ac:dyDescent="0.25">
      <c r="B12" s="95" t="s">
        <v>14</v>
      </c>
      <c r="C12" s="15" t="s">
        <v>119</v>
      </c>
      <c r="D12" s="1"/>
      <c r="E12" s="121" t="s">
        <v>16</v>
      </c>
      <c r="F12" s="122"/>
      <c r="G12" s="6" t="s">
        <v>17</v>
      </c>
    </row>
    <row r="13" spans="2:7" ht="27" x14ac:dyDescent="0.25">
      <c r="B13" s="95" t="s">
        <v>18</v>
      </c>
      <c r="C13" s="24">
        <v>45017</v>
      </c>
      <c r="D13" s="1"/>
      <c r="E13" s="114" t="s">
        <v>19</v>
      </c>
      <c r="F13" s="115"/>
      <c r="G13" s="6" t="s">
        <v>120</v>
      </c>
    </row>
    <row r="14" spans="2:7" x14ac:dyDescent="0.25">
      <c r="B14" s="2"/>
      <c r="C14" s="10"/>
      <c r="D14" s="1"/>
      <c r="E14" s="1"/>
      <c r="F14" s="1"/>
      <c r="G14" s="11"/>
    </row>
    <row r="15" spans="2:7" x14ac:dyDescent="0.25">
      <c r="B15" s="116" t="s">
        <v>20</v>
      </c>
      <c r="C15" s="117"/>
      <c r="D15" s="117"/>
      <c r="E15" s="117"/>
      <c r="F15" s="117"/>
      <c r="G15" s="117"/>
    </row>
    <row r="16" spans="2:7" x14ac:dyDescent="0.25">
      <c r="B16" s="1"/>
      <c r="C16" s="12"/>
      <c r="D16" s="12"/>
      <c r="E16" s="13"/>
      <c r="F16" s="1"/>
      <c r="G16" s="1"/>
    </row>
    <row r="17" spans="2:8" x14ac:dyDescent="0.25">
      <c r="B17" s="32" t="s">
        <v>21</v>
      </c>
      <c r="C17" s="33"/>
      <c r="D17" s="34"/>
      <c r="E17" s="34"/>
      <c r="F17" s="34"/>
      <c r="G17" s="35"/>
    </row>
    <row r="18" spans="2:8" ht="24" x14ac:dyDescent="0.25">
      <c r="B18" s="36" t="s">
        <v>22</v>
      </c>
      <c r="C18" s="36" t="s">
        <v>23</v>
      </c>
      <c r="D18" s="36" t="s">
        <v>24</v>
      </c>
      <c r="E18" s="36" t="s">
        <v>77</v>
      </c>
      <c r="F18" s="36" t="s">
        <v>26</v>
      </c>
      <c r="G18" s="36" t="s">
        <v>27</v>
      </c>
    </row>
    <row r="19" spans="2:8" x14ac:dyDescent="0.25">
      <c r="B19" s="14" t="s">
        <v>28</v>
      </c>
      <c r="C19" s="15" t="s">
        <v>29</v>
      </c>
      <c r="D19" s="15">
        <v>4</v>
      </c>
      <c r="E19" s="16" t="s">
        <v>30</v>
      </c>
      <c r="F19" s="17">
        <f>26000+6500</f>
        <v>32500</v>
      </c>
      <c r="G19" s="17">
        <f t="shared" ref="G19:G30" si="0">+F19*D19</f>
        <v>130000</v>
      </c>
      <c r="H19" s="25"/>
    </row>
    <row r="20" spans="2:8" x14ac:dyDescent="0.25">
      <c r="B20" s="14" t="s">
        <v>31</v>
      </c>
      <c r="C20" s="15" t="s">
        <v>29</v>
      </c>
      <c r="D20" s="15">
        <v>2</v>
      </c>
      <c r="E20" s="16" t="s">
        <v>30</v>
      </c>
      <c r="F20" s="17">
        <v>32500</v>
      </c>
      <c r="G20" s="17">
        <f>+F20*D20</f>
        <v>65000</v>
      </c>
      <c r="H20" s="25"/>
    </row>
    <row r="21" spans="2:8" x14ac:dyDescent="0.25">
      <c r="B21" s="14" t="s">
        <v>32</v>
      </c>
      <c r="C21" s="15" t="s">
        <v>29</v>
      </c>
      <c r="D21" s="15">
        <v>0.25</v>
      </c>
      <c r="E21" s="16" t="s">
        <v>30</v>
      </c>
      <c r="F21" s="17">
        <v>32500</v>
      </c>
      <c r="G21" s="17">
        <f>+F21*D21</f>
        <v>8125</v>
      </c>
      <c r="H21" s="25"/>
    </row>
    <row r="22" spans="2:8" x14ac:dyDescent="0.25">
      <c r="B22" s="14" t="s">
        <v>33</v>
      </c>
      <c r="C22" s="15" t="s">
        <v>29</v>
      </c>
      <c r="D22" s="15">
        <v>6</v>
      </c>
      <c r="E22" s="16" t="s">
        <v>30</v>
      </c>
      <c r="F22" s="17">
        <v>32500</v>
      </c>
      <c r="G22" s="17">
        <f t="shared" si="0"/>
        <v>195000</v>
      </c>
      <c r="H22" s="25"/>
    </row>
    <row r="23" spans="2:8" x14ac:dyDescent="0.25">
      <c r="B23" s="14" t="s">
        <v>34</v>
      </c>
      <c r="C23" s="15" t="s">
        <v>29</v>
      </c>
      <c r="D23" s="15">
        <v>0.25</v>
      </c>
      <c r="E23" s="16" t="s">
        <v>30</v>
      </c>
      <c r="F23" s="17">
        <v>32500</v>
      </c>
      <c r="G23" s="17">
        <f t="shared" si="0"/>
        <v>8125</v>
      </c>
      <c r="H23" s="25"/>
    </row>
    <row r="24" spans="2:8" x14ac:dyDescent="0.25">
      <c r="B24" s="14" t="s">
        <v>35</v>
      </c>
      <c r="C24" s="15" t="s">
        <v>29</v>
      </c>
      <c r="D24" s="15">
        <v>3</v>
      </c>
      <c r="E24" s="16" t="s">
        <v>30</v>
      </c>
      <c r="F24" s="17">
        <v>32500</v>
      </c>
      <c r="G24" s="17">
        <f t="shared" si="0"/>
        <v>97500</v>
      </c>
      <c r="H24" s="25"/>
    </row>
    <row r="25" spans="2:8" x14ac:dyDescent="0.25">
      <c r="B25" s="14" t="s">
        <v>36</v>
      </c>
      <c r="C25" s="15" t="s">
        <v>29</v>
      </c>
      <c r="D25" s="15">
        <v>2</v>
      </c>
      <c r="E25" s="16" t="s">
        <v>30</v>
      </c>
      <c r="F25" s="17">
        <v>32500</v>
      </c>
      <c r="G25" s="17">
        <f t="shared" si="0"/>
        <v>65000</v>
      </c>
      <c r="H25" s="25"/>
    </row>
    <row r="26" spans="2:8" x14ac:dyDescent="0.25">
      <c r="B26" s="14" t="s">
        <v>37</v>
      </c>
      <c r="C26" s="15" t="s">
        <v>29</v>
      </c>
      <c r="D26" s="15">
        <v>15</v>
      </c>
      <c r="E26" s="16" t="s">
        <v>30</v>
      </c>
      <c r="F26" s="17">
        <v>32500</v>
      </c>
      <c r="G26" s="17">
        <f t="shared" si="0"/>
        <v>487500</v>
      </c>
      <c r="H26" s="25"/>
    </row>
    <row r="27" spans="2:8" x14ac:dyDescent="0.25">
      <c r="B27" s="14" t="s">
        <v>36</v>
      </c>
      <c r="C27" s="15" t="s">
        <v>29</v>
      </c>
      <c r="D27" s="15">
        <v>9</v>
      </c>
      <c r="E27" s="16" t="s">
        <v>38</v>
      </c>
      <c r="F27" s="17">
        <v>32500</v>
      </c>
      <c r="G27" s="17">
        <f t="shared" si="0"/>
        <v>292500</v>
      </c>
      <c r="H27" s="25"/>
    </row>
    <row r="28" spans="2:8" x14ac:dyDescent="0.25">
      <c r="B28" s="14" t="s">
        <v>35</v>
      </c>
      <c r="C28" s="15" t="s">
        <v>29</v>
      </c>
      <c r="D28" s="15">
        <v>3</v>
      </c>
      <c r="E28" s="16" t="s">
        <v>39</v>
      </c>
      <c r="F28" s="17">
        <v>32500</v>
      </c>
      <c r="G28" s="17">
        <f t="shared" si="0"/>
        <v>97500</v>
      </c>
      <c r="H28" s="25"/>
    </row>
    <row r="29" spans="2:8" x14ac:dyDescent="0.25">
      <c r="B29" s="14" t="s">
        <v>40</v>
      </c>
      <c r="C29" s="15" t="s">
        <v>29</v>
      </c>
      <c r="D29" s="15">
        <v>2</v>
      </c>
      <c r="E29" s="16" t="s">
        <v>41</v>
      </c>
      <c r="F29" s="17">
        <v>32500</v>
      </c>
      <c r="G29" s="17">
        <f t="shared" si="0"/>
        <v>65000</v>
      </c>
      <c r="H29" s="25"/>
    </row>
    <row r="30" spans="2:8" x14ac:dyDescent="0.25">
      <c r="B30" s="14" t="s">
        <v>42</v>
      </c>
      <c r="C30" s="15" t="s">
        <v>29</v>
      </c>
      <c r="D30" s="15">
        <v>18</v>
      </c>
      <c r="E30" s="16" t="s">
        <v>41</v>
      </c>
      <c r="F30" s="17">
        <v>32500</v>
      </c>
      <c r="G30" s="17">
        <f t="shared" si="0"/>
        <v>585000</v>
      </c>
      <c r="H30" s="25"/>
    </row>
    <row r="31" spans="2:8" x14ac:dyDescent="0.25">
      <c r="B31" s="37" t="s">
        <v>43</v>
      </c>
      <c r="C31" s="38"/>
      <c r="D31" s="38"/>
      <c r="E31" s="38"/>
      <c r="F31" s="39"/>
      <c r="G31" s="40">
        <f>SUM(G19:G30)</f>
        <v>2096250</v>
      </c>
    </row>
    <row r="32" spans="2:8" x14ac:dyDescent="0.25">
      <c r="B32" s="1"/>
      <c r="C32" s="18"/>
      <c r="D32" s="18"/>
      <c r="E32" s="18"/>
      <c r="F32" s="1"/>
      <c r="G32" s="1"/>
    </row>
    <row r="33" spans="2:8" x14ac:dyDescent="0.25">
      <c r="B33" s="41" t="s">
        <v>44</v>
      </c>
      <c r="C33" s="42"/>
      <c r="D33" s="43"/>
      <c r="E33" s="43"/>
      <c r="F33" s="44"/>
      <c r="G33" s="45"/>
    </row>
    <row r="34" spans="2:8" ht="24" x14ac:dyDescent="0.25">
      <c r="B34" s="46" t="s">
        <v>22</v>
      </c>
      <c r="C34" s="47" t="s">
        <v>23</v>
      </c>
      <c r="D34" s="47" t="s">
        <v>24</v>
      </c>
      <c r="E34" s="46" t="s">
        <v>106</v>
      </c>
      <c r="F34" s="47" t="s">
        <v>26</v>
      </c>
      <c r="G34" s="46" t="s">
        <v>27</v>
      </c>
    </row>
    <row r="35" spans="2:8" x14ac:dyDescent="0.25">
      <c r="B35" s="14" t="s">
        <v>45</v>
      </c>
      <c r="C35" s="15" t="s">
        <v>46</v>
      </c>
      <c r="D35" s="15">
        <v>1</v>
      </c>
      <c r="E35" s="15" t="s">
        <v>30</v>
      </c>
      <c r="F35" s="17">
        <f>110000+27500</f>
        <v>137500</v>
      </c>
      <c r="G35" s="17">
        <f>+F35*D35</f>
        <v>137500</v>
      </c>
    </row>
    <row r="36" spans="2:8" x14ac:dyDescent="0.25">
      <c r="B36" s="48" t="s">
        <v>47</v>
      </c>
      <c r="C36" s="49"/>
      <c r="D36" s="49"/>
      <c r="E36" s="49"/>
      <c r="F36" s="50"/>
      <c r="G36" s="40">
        <f>SUM(G35)</f>
        <v>137500</v>
      </c>
    </row>
    <row r="37" spans="2:8" x14ac:dyDescent="0.25">
      <c r="B37" s="1"/>
      <c r="C37" s="18"/>
      <c r="D37" s="18"/>
      <c r="E37" s="18"/>
      <c r="F37" s="1"/>
      <c r="G37" s="1"/>
    </row>
    <row r="38" spans="2:8" x14ac:dyDescent="0.25">
      <c r="B38" s="41" t="s">
        <v>48</v>
      </c>
      <c r="C38" s="42"/>
      <c r="D38" s="43"/>
      <c r="E38" s="43"/>
      <c r="F38" s="44"/>
      <c r="G38" s="45"/>
    </row>
    <row r="39" spans="2:8" ht="24" x14ac:dyDescent="0.25">
      <c r="B39" s="51" t="s">
        <v>22</v>
      </c>
      <c r="C39" s="51" t="s">
        <v>23</v>
      </c>
      <c r="D39" s="51" t="s">
        <v>24</v>
      </c>
      <c r="E39" s="51" t="s">
        <v>77</v>
      </c>
      <c r="F39" s="52" t="s">
        <v>26</v>
      </c>
      <c r="G39" s="51" t="s">
        <v>27</v>
      </c>
    </row>
    <row r="40" spans="2:8" x14ac:dyDescent="0.25">
      <c r="B40" s="14" t="s">
        <v>49</v>
      </c>
      <c r="C40" s="15" t="s">
        <v>50</v>
      </c>
      <c r="D40" s="15">
        <v>0.21</v>
      </c>
      <c r="E40" s="15" t="s">
        <v>30</v>
      </c>
      <c r="F40" s="17">
        <f>180000+45000</f>
        <v>225000</v>
      </c>
      <c r="G40" s="17">
        <f>+F40*D40</f>
        <v>47250</v>
      </c>
      <c r="H40" s="25"/>
    </row>
    <row r="41" spans="2:8" x14ac:dyDescent="0.25">
      <c r="B41" s="14" t="s">
        <v>51</v>
      </c>
      <c r="C41" s="15" t="s">
        <v>50</v>
      </c>
      <c r="D41" s="15">
        <v>0.21</v>
      </c>
      <c r="E41" s="15" t="s">
        <v>30</v>
      </c>
      <c r="F41" s="17">
        <v>225000</v>
      </c>
      <c r="G41" s="17">
        <f>+F41*D41</f>
        <v>47250</v>
      </c>
      <c r="H41" s="25"/>
    </row>
    <row r="42" spans="2:8" x14ac:dyDescent="0.25">
      <c r="B42" s="53" t="s">
        <v>52</v>
      </c>
      <c r="C42" s="49"/>
      <c r="D42" s="49"/>
      <c r="E42" s="49"/>
      <c r="F42" s="50"/>
      <c r="G42" s="40">
        <f>SUM(G40:G41)</f>
        <v>94500</v>
      </c>
    </row>
    <row r="43" spans="2:8" x14ac:dyDescent="0.25">
      <c r="B43" s="1"/>
      <c r="C43" s="18"/>
      <c r="D43" s="18"/>
      <c r="E43" s="18"/>
      <c r="F43" s="1"/>
      <c r="G43" s="1"/>
    </row>
    <row r="44" spans="2:8" x14ac:dyDescent="0.25">
      <c r="B44" s="41" t="s">
        <v>53</v>
      </c>
      <c r="C44" s="42"/>
      <c r="D44" s="43"/>
      <c r="E44" s="43"/>
      <c r="F44" s="44"/>
      <c r="G44" s="45"/>
    </row>
    <row r="45" spans="2:8" ht="24" x14ac:dyDescent="0.25">
      <c r="B45" s="54" t="s">
        <v>54</v>
      </c>
      <c r="C45" s="54" t="s">
        <v>55</v>
      </c>
      <c r="D45" s="54" t="s">
        <v>56</v>
      </c>
      <c r="E45" s="54" t="s">
        <v>77</v>
      </c>
      <c r="F45" s="54" t="s">
        <v>26</v>
      </c>
      <c r="G45" s="55" t="s">
        <v>27</v>
      </c>
    </row>
    <row r="46" spans="2:8" x14ac:dyDescent="0.25">
      <c r="B46" s="14" t="s">
        <v>101</v>
      </c>
      <c r="C46" s="15" t="s">
        <v>102</v>
      </c>
      <c r="D46" s="60">
        <v>120</v>
      </c>
      <c r="E46" s="30" t="s">
        <v>103</v>
      </c>
      <c r="F46" s="61">
        <v>2613</v>
      </c>
      <c r="G46" s="61">
        <f>(D46*F46)</f>
        <v>313560</v>
      </c>
    </row>
    <row r="47" spans="2:8" x14ac:dyDescent="0.25">
      <c r="B47" s="19" t="s">
        <v>57</v>
      </c>
      <c r="C47" s="15" t="s">
        <v>58</v>
      </c>
      <c r="D47" s="20">
        <v>40000</v>
      </c>
      <c r="E47" s="16" t="s">
        <v>30</v>
      </c>
      <c r="F47" s="61">
        <v>33</v>
      </c>
      <c r="G47" s="17">
        <f>+F47*D47</f>
        <v>1320000</v>
      </c>
      <c r="H47" s="25"/>
    </row>
    <row r="48" spans="2:8" x14ac:dyDescent="0.25">
      <c r="B48" s="19" t="s">
        <v>59</v>
      </c>
      <c r="C48" s="15"/>
      <c r="D48" s="20"/>
      <c r="E48" s="16"/>
      <c r="F48" s="61">
        <f>Lechuga!F48*'Lechuga (Aire Libre)'!$I$46</f>
        <v>0</v>
      </c>
      <c r="G48" s="17"/>
      <c r="H48" s="25"/>
    </row>
    <row r="49" spans="2:8" x14ac:dyDescent="0.25">
      <c r="B49" s="14" t="s">
        <v>60</v>
      </c>
      <c r="C49" s="15" t="s">
        <v>61</v>
      </c>
      <c r="D49" s="20">
        <v>200</v>
      </c>
      <c r="E49" s="16" t="s">
        <v>62</v>
      </c>
      <c r="F49" s="61">
        <v>545</v>
      </c>
      <c r="G49" s="17">
        <f>+F49*D49</f>
        <v>109000</v>
      </c>
      <c r="H49" s="25"/>
    </row>
    <row r="50" spans="2:8" x14ac:dyDescent="0.25">
      <c r="B50" s="14" t="s">
        <v>63</v>
      </c>
      <c r="C50" s="15" t="s">
        <v>64</v>
      </c>
      <c r="D50" s="20">
        <v>1</v>
      </c>
      <c r="E50" s="16" t="s">
        <v>62</v>
      </c>
      <c r="F50" s="61">
        <v>51799</v>
      </c>
      <c r="G50" s="17">
        <f t="shared" ref="G50:G57" si="1">+F50*D50</f>
        <v>51799</v>
      </c>
      <c r="H50" s="25"/>
    </row>
    <row r="51" spans="2:8" x14ac:dyDescent="0.25">
      <c r="B51" s="14" t="s">
        <v>65</v>
      </c>
      <c r="C51" s="15" t="s">
        <v>61</v>
      </c>
      <c r="D51" s="20">
        <v>100</v>
      </c>
      <c r="E51" s="16" t="s">
        <v>62</v>
      </c>
      <c r="F51" s="61">
        <v>1508</v>
      </c>
      <c r="G51" s="17">
        <f t="shared" si="1"/>
        <v>150800</v>
      </c>
      <c r="H51" s="25"/>
    </row>
    <row r="52" spans="2:8" x14ac:dyDescent="0.25">
      <c r="B52" s="14" t="s">
        <v>66</v>
      </c>
      <c r="C52" s="15" t="s">
        <v>95</v>
      </c>
      <c r="D52" s="20">
        <v>10</v>
      </c>
      <c r="E52" s="16" t="s">
        <v>62</v>
      </c>
      <c r="F52" s="61">
        <v>1421</v>
      </c>
      <c r="G52" s="17">
        <f t="shared" si="1"/>
        <v>14210</v>
      </c>
      <c r="H52" s="25"/>
    </row>
    <row r="53" spans="2:8" x14ac:dyDescent="0.25">
      <c r="B53" s="19" t="s">
        <v>67</v>
      </c>
      <c r="C53" s="15"/>
      <c r="D53" s="20"/>
      <c r="E53" s="16"/>
      <c r="F53" s="61">
        <f>Lechuga!F53*'Lechuga (Aire Libre)'!$I$46</f>
        <v>0</v>
      </c>
      <c r="G53" s="17"/>
      <c r="H53" s="25"/>
    </row>
    <row r="54" spans="2:8" x14ac:dyDescent="0.25">
      <c r="B54" s="14" t="s">
        <v>96</v>
      </c>
      <c r="C54" s="15" t="s">
        <v>68</v>
      </c>
      <c r="D54" s="20">
        <v>1</v>
      </c>
      <c r="E54" s="16" t="s">
        <v>62</v>
      </c>
      <c r="F54" s="61">
        <v>145039</v>
      </c>
      <c r="G54" s="17">
        <f>+F54*D54</f>
        <v>145039</v>
      </c>
      <c r="H54" s="25"/>
    </row>
    <row r="55" spans="2:8" x14ac:dyDescent="0.25">
      <c r="B55" s="19" t="s">
        <v>69</v>
      </c>
      <c r="C55" s="15"/>
      <c r="D55" s="20"/>
      <c r="E55" s="16"/>
      <c r="F55" s="61">
        <f>Lechuga!F55*'Lechuga (Aire Libre)'!$I$46</f>
        <v>0</v>
      </c>
      <c r="G55" s="17"/>
      <c r="H55" s="25"/>
    </row>
    <row r="56" spans="2:8" x14ac:dyDescent="0.25">
      <c r="B56" s="14" t="s">
        <v>97</v>
      </c>
      <c r="C56" s="15" t="s">
        <v>70</v>
      </c>
      <c r="D56" s="20">
        <v>2</v>
      </c>
      <c r="E56" s="16" t="s">
        <v>62</v>
      </c>
      <c r="F56" s="61">
        <v>211638</v>
      </c>
      <c r="G56" s="17">
        <f t="shared" si="1"/>
        <v>423276</v>
      </c>
      <c r="H56" s="25"/>
    </row>
    <row r="57" spans="2:8" x14ac:dyDescent="0.25">
      <c r="B57" s="14" t="s">
        <v>98</v>
      </c>
      <c r="C57" s="15" t="s">
        <v>99</v>
      </c>
      <c r="D57" s="20">
        <v>1</v>
      </c>
      <c r="E57" s="16" t="s">
        <v>62</v>
      </c>
      <c r="F57" s="61">
        <v>51626</v>
      </c>
      <c r="G57" s="17">
        <f t="shared" si="1"/>
        <v>51626</v>
      </c>
      <c r="H57" s="25"/>
    </row>
    <row r="58" spans="2:8" x14ac:dyDescent="0.25">
      <c r="B58" s="19" t="s">
        <v>71</v>
      </c>
      <c r="C58" s="15"/>
      <c r="D58" s="20"/>
      <c r="E58" s="16"/>
      <c r="F58" s="61">
        <f>Lechuga!F58*'Lechuga (Aire Libre)'!$I$46</f>
        <v>0</v>
      </c>
      <c r="G58" s="17"/>
      <c r="H58" s="25"/>
    </row>
    <row r="59" spans="2:8" x14ac:dyDescent="0.25">
      <c r="B59" s="14" t="s">
        <v>72</v>
      </c>
      <c r="C59" s="15" t="s">
        <v>68</v>
      </c>
      <c r="D59" s="20">
        <v>3</v>
      </c>
      <c r="E59" s="16" t="s">
        <v>30</v>
      </c>
      <c r="F59" s="61">
        <v>15466</v>
      </c>
      <c r="G59" s="17">
        <f>+F59*D59</f>
        <v>46398</v>
      </c>
      <c r="H59" s="25"/>
    </row>
    <row r="60" spans="2:8" x14ac:dyDescent="0.25">
      <c r="B60" s="14" t="s">
        <v>73</v>
      </c>
      <c r="C60" s="15" t="s">
        <v>68</v>
      </c>
      <c r="D60" s="20">
        <v>1.5</v>
      </c>
      <c r="E60" s="16" t="s">
        <v>30</v>
      </c>
      <c r="F60" s="61">
        <v>24420</v>
      </c>
      <c r="G60" s="17">
        <f>+F60*D60</f>
        <v>36630</v>
      </c>
      <c r="H60" s="25"/>
    </row>
    <row r="61" spans="2:8" x14ac:dyDescent="0.25">
      <c r="B61" s="56" t="s">
        <v>74</v>
      </c>
      <c r="C61" s="57"/>
      <c r="D61" s="57"/>
      <c r="E61" s="57"/>
      <c r="F61" s="58"/>
      <c r="G61" s="59">
        <f>SUM(G46:G60)</f>
        <v>2662338</v>
      </c>
    </row>
    <row r="62" spans="2:8" x14ac:dyDescent="0.25">
      <c r="B62" s="1"/>
      <c r="C62" s="18"/>
      <c r="D62" s="18"/>
      <c r="E62" s="18"/>
      <c r="F62" s="1"/>
      <c r="G62" s="1"/>
    </row>
    <row r="63" spans="2:8" x14ac:dyDescent="0.25">
      <c r="B63" s="41" t="s">
        <v>75</v>
      </c>
      <c r="C63" s="42"/>
      <c r="D63" s="43"/>
      <c r="E63" s="43"/>
      <c r="F63" s="44"/>
      <c r="G63" s="45"/>
    </row>
    <row r="64" spans="2:8" ht="24" x14ac:dyDescent="0.25">
      <c r="B64" s="62" t="s">
        <v>76</v>
      </c>
      <c r="C64" s="54" t="s">
        <v>55</v>
      </c>
      <c r="D64" s="54" t="s">
        <v>56</v>
      </c>
      <c r="E64" s="62" t="s">
        <v>77</v>
      </c>
      <c r="F64" s="54" t="s">
        <v>26</v>
      </c>
      <c r="G64" s="62" t="s">
        <v>27</v>
      </c>
    </row>
    <row r="65" spans="2:7" x14ac:dyDescent="0.25">
      <c r="B65" s="14" t="s">
        <v>78</v>
      </c>
      <c r="C65" s="15" t="s">
        <v>79</v>
      </c>
      <c r="D65" s="20">
        <v>1</v>
      </c>
      <c r="E65" s="16" t="s">
        <v>38</v>
      </c>
      <c r="F65" s="17">
        <v>312500</v>
      </c>
      <c r="G65" s="17">
        <f>+F65*D65*1.07</f>
        <v>334375</v>
      </c>
    </row>
    <row r="66" spans="2:7" x14ac:dyDescent="0.25">
      <c r="B66" s="63" t="s">
        <v>80</v>
      </c>
      <c r="C66" s="63"/>
      <c r="D66" s="63"/>
      <c r="E66" s="63"/>
      <c r="F66" s="63"/>
      <c r="G66" s="64">
        <f>G65</f>
        <v>334375</v>
      </c>
    </row>
    <row r="67" spans="2:7" x14ac:dyDescent="0.25">
      <c r="B67" s="1"/>
      <c r="C67" s="1"/>
      <c r="D67" s="1"/>
      <c r="E67" s="1"/>
      <c r="F67" s="1"/>
      <c r="G67" s="1"/>
    </row>
    <row r="68" spans="2:7" x14ac:dyDescent="0.25">
      <c r="B68" s="65" t="s">
        <v>81</v>
      </c>
      <c r="C68" s="66"/>
      <c r="D68" s="66"/>
      <c r="E68" s="66"/>
      <c r="F68" s="66"/>
      <c r="G68" s="67">
        <f>G66+G61+G42+G36+G31</f>
        <v>5324963</v>
      </c>
    </row>
    <row r="69" spans="2:7" x14ac:dyDescent="0.25">
      <c r="B69" s="68" t="s">
        <v>82</v>
      </c>
      <c r="C69" s="69"/>
      <c r="D69" s="69"/>
      <c r="E69" s="69"/>
      <c r="F69" s="69"/>
      <c r="G69" s="70">
        <f>G68*0.05</f>
        <v>266248.15000000002</v>
      </c>
    </row>
    <row r="70" spans="2:7" x14ac:dyDescent="0.25">
      <c r="B70" s="71" t="s">
        <v>83</v>
      </c>
      <c r="C70" s="72"/>
      <c r="D70" s="72"/>
      <c r="E70" s="72"/>
      <c r="F70" s="72"/>
      <c r="G70" s="73">
        <f>G69+G68</f>
        <v>5591211.1500000004</v>
      </c>
    </row>
    <row r="71" spans="2:7" x14ac:dyDescent="0.25">
      <c r="B71" s="68" t="s">
        <v>84</v>
      </c>
      <c r="C71" s="69"/>
      <c r="D71" s="69"/>
      <c r="E71" s="69"/>
      <c r="F71" s="69"/>
      <c r="G71" s="70">
        <f>G10</f>
        <v>8100000</v>
      </c>
    </row>
    <row r="72" spans="2:7" x14ac:dyDescent="0.25">
      <c r="B72" s="74" t="s">
        <v>85</v>
      </c>
      <c r="C72" s="75"/>
      <c r="D72" s="75"/>
      <c r="E72" s="75"/>
      <c r="F72" s="75"/>
      <c r="G72" s="67">
        <f>G71-G70</f>
        <v>2508788.8499999996</v>
      </c>
    </row>
    <row r="73" spans="2:7" x14ac:dyDescent="0.25">
      <c r="B73" s="21" t="s">
        <v>86</v>
      </c>
      <c r="C73" s="1"/>
      <c r="D73" s="1"/>
      <c r="E73" s="1"/>
      <c r="F73" s="1"/>
      <c r="G73" s="1"/>
    </row>
    <row r="74" spans="2:7" x14ac:dyDescent="0.25">
      <c r="B74" s="22" t="s">
        <v>87</v>
      </c>
      <c r="C74" s="1"/>
      <c r="D74" s="1"/>
      <c r="E74" s="1"/>
      <c r="F74" s="1"/>
      <c r="G74" s="1"/>
    </row>
    <row r="75" spans="2:7" x14ac:dyDescent="0.25">
      <c r="B75" s="21" t="s">
        <v>88</v>
      </c>
      <c r="C75" s="1"/>
      <c r="D75" s="1"/>
      <c r="E75" s="1"/>
      <c r="F75" s="1"/>
      <c r="G75" s="1"/>
    </row>
    <row r="76" spans="2:7" x14ac:dyDescent="0.25">
      <c r="B76" s="21" t="s">
        <v>89</v>
      </c>
      <c r="C76" s="1"/>
      <c r="D76" s="1"/>
      <c r="E76" s="1"/>
      <c r="F76" s="1"/>
      <c r="G76" s="1"/>
    </row>
    <row r="77" spans="2:7" x14ac:dyDescent="0.25">
      <c r="B77" s="21" t="s">
        <v>90</v>
      </c>
      <c r="C77" s="1"/>
      <c r="D77" s="1"/>
      <c r="E77" s="1"/>
      <c r="F77" s="1"/>
      <c r="G77" s="1"/>
    </row>
    <row r="78" spans="2:7" x14ac:dyDescent="0.25">
      <c r="B78" s="21" t="s">
        <v>91</v>
      </c>
      <c r="C78" s="1"/>
      <c r="D78" s="1"/>
      <c r="E78" s="1"/>
      <c r="F78" s="1"/>
      <c r="G78" s="1"/>
    </row>
    <row r="79" spans="2:7" x14ac:dyDescent="0.25">
      <c r="B79" s="21" t="s">
        <v>92</v>
      </c>
      <c r="C79" s="1"/>
      <c r="D79" s="1"/>
      <c r="E79" s="1"/>
      <c r="F79" s="1"/>
      <c r="G79" s="1"/>
    </row>
    <row r="80" spans="2:7" x14ac:dyDescent="0.25">
      <c r="B80" s="21" t="s">
        <v>93</v>
      </c>
      <c r="C80" s="1"/>
      <c r="D80" s="1"/>
      <c r="E80" s="1"/>
      <c r="F80" s="1"/>
      <c r="G80" s="1"/>
    </row>
    <row r="81" spans="2:7" x14ac:dyDescent="0.25">
      <c r="B81" s="1"/>
      <c r="C81" s="1"/>
      <c r="D81" s="1"/>
      <c r="E81" s="1"/>
      <c r="F81" s="1"/>
      <c r="G81" s="1"/>
    </row>
    <row r="82" spans="2:7" ht="15.75" thickBot="1" x14ac:dyDescent="0.3">
      <c r="B82" s="109" t="s">
        <v>107</v>
      </c>
      <c r="C82" s="110"/>
      <c r="D82" s="76"/>
      <c r="E82" s="77"/>
    </row>
    <row r="83" spans="2:7" x14ac:dyDescent="0.25">
      <c r="B83" s="96" t="s">
        <v>76</v>
      </c>
      <c r="C83" s="97" t="s">
        <v>108</v>
      </c>
      <c r="D83" s="98" t="s">
        <v>109</v>
      </c>
      <c r="E83" s="77"/>
    </row>
    <row r="84" spans="2:7" x14ac:dyDescent="0.25">
      <c r="B84" s="99" t="s">
        <v>110</v>
      </c>
      <c r="C84" s="100">
        <f>G31</f>
        <v>2096250</v>
      </c>
      <c r="D84" s="101">
        <f>(C84/C90)</f>
        <v>0.37491876871793689</v>
      </c>
      <c r="E84" s="77"/>
    </row>
    <row r="85" spans="2:7" x14ac:dyDescent="0.25">
      <c r="B85" s="99" t="s">
        <v>111</v>
      </c>
      <c r="C85" s="100">
        <f>G36</f>
        <v>137500</v>
      </c>
      <c r="D85" s="101">
        <v>0</v>
      </c>
      <c r="E85" s="77"/>
    </row>
    <row r="86" spans="2:7" x14ac:dyDescent="0.25">
      <c r="B86" s="99" t="s">
        <v>112</v>
      </c>
      <c r="C86" s="100">
        <f>G42</f>
        <v>94500</v>
      </c>
      <c r="D86" s="101">
        <f>(C86/C90)</f>
        <v>1.6901525888536689E-2</v>
      </c>
      <c r="E86" s="77"/>
    </row>
    <row r="87" spans="2:7" x14ac:dyDescent="0.25">
      <c r="B87" s="99" t="s">
        <v>54</v>
      </c>
      <c r="C87" s="100">
        <f>G61</f>
        <v>2662338</v>
      </c>
      <c r="D87" s="101">
        <f>(C87/C90)</f>
        <v>0.47616481091042318</v>
      </c>
      <c r="E87" s="77"/>
    </row>
    <row r="88" spans="2:7" x14ac:dyDescent="0.25">
      <c r="B88" s="99" t="s">
        <v>113</v>
      </c>
      <c r="C88" s="102">
        <f>G65</f>
        <v>334375</v>
      </c>
      <c r="D88" s="101">
        <f>(C88/C90)</f>
        <v>5.9803679565920163E-2</v>
      </c>
      <c r="E88" s="85"/>
    </row>
    <row r="89" spans="2:7" x14ac:dyDescent="0.25">
      <c r="B89" s="99" t="s">
        <v>114</v>
      </c>
      <c r="C89" s="102">
        <f>G69</f>
        <v>266248.15000000002</v>
      </c>
      <c r="D89" s="101">
        <f>(C89/C90)</f>
        <v>4.7619047619047623E-2</v>
      </c>
      <c r="E89" s="85"/>
    </row>
    <row r="90" spans="2:7" ht="15.75" thickBot="1" x14ac:dyDescent="0.3">
      <c r="B90" s="103" t="s">
        <v>115</v>
      </c>
      <c r="C90" s="104">
        <f>SUM(C84:C89)</f>
        <v>5591211.1500000004</v>
      </c>
      <c r="D90" s="105">
        <f>SUM(D84:D89)</f>
        <v>0.9754078327018646</v>
      </c>
      <c r="E90" s="85"/>
    </row>
    <row r="91" spans="2:7" x14ac:dyDescent="0.25">
      <c r="B91" s="89"/>
      <c r="C91" s="90"/>
      <c r="D91" s="90"/>
      <c r="E91" s="90"/>
    </row>
    <row r="92" spans="2:7" ht="15.75" thickBot="1" x14ac:dyDescent="0.3">
      <c r="B92" s="91"/>
      <c r="C92" s="90"/>
      <c r="D92" s="90"/>
      <c r="E92" s="90"/>
    </row>
    <row r="93" spans="2:7" ht="15.75" thickBot="1" x14ac:dyDescent="0.3">
      <c r="B93" s="111" t="s">
        <v>116</v>
      </c>
      <c r="C93" s="112"/>
      <c r="D93" s="112"/>
      <c r="E93" s="113"/>
    </row>
    <row r="94" spans="2:7" x14ac:dyDescent="0.25">
      <c r="B94" s="106" t="s">
        <v>117</v>
      </c>
      <c r="C94" s="107">
        <v>20000</v>
      </c>
      <c r="D94" s="107">
        <f>G7</f>
        <v>45000</v>
      </c>
      <c r="E94" s="107">
        <v>35000</v>
      </c>
    </row>
    <row r="95" spans="2:7" ht="15.75" thickBot="1" x14ac:dyDescent="0.3">
      <c r="B95" s="103" t="s">
        <v>118</v>
      </c>
      <c r="C95" s="104">
        <f>(G69/C94)</f>
        <v>13.312407500000001</v>
      </c>
      <c r="D95" s="104">
        <f>(G69/D94)</f>
        <v>5.916625555555556</v>
      </c>
      <c r="E95" s="108">
        <f>(G69/E94)</f>
        <v>7.6070900000000004</v>
      </c>
    </row>
  </sheetData>
  <mergeCells count="10">
    <mergeCell ref="E13:F13"/>
    <mergeCell ref="B15:G15"/>
    <mergeCell ref="B82:C82"/>
    <mergeCell ref="B93:E93"/>
    <mergeCell ref="E7:F7"/>
    <mergeCell ref="E8:F8"/>
    <mergeCell ref="E9:F9"/>
    <mergeCell ref="E10:F10"/>
    <mergeCell ref="E11:F11"/>
    <mergeCell ref="E12:F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CFE59B-2284-4DCA-85AA-A18E5FCE40B6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sharepoint/v3"/>
    <ds:schemaRef ds:uri="1030f0af-99cb-42f1-88fc-acec73331192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5dbce2d-49dc-4afe-a5b0-d7fb7a90116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879320C-1CBE-475C-B7D7-5F932B13C0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4AF8DB-C741-4E24-8469-664D500D7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Lechuga</vt:lpstr>
      <vt:lpstr>Hoja2</vt:lpstr>
      <vt:lpstr>Lechuga (Aire Libre)</vt:lpstr>
      <vt:lpstr>Lechuga!Área_de_impresión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 Alvarez Mariana Beatriz</dc:creator>
  <cp:lastModifiedBy>Rioseco Ventura Victor Manuel</cp:lastModifiedBy>
  <cp:lastPrinted>2019-03-20T19:17:00Z</cp:lastPrinted>
  <dcterms:created xsi:type="dcterms:W3CDTF">2017-03-13T16:16:55Z</dcterms:created>
  <dcterms:modified xsi:type="dcterms:W3CDTF">2023-05-03T14:32:08Z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