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A LIGUA\"/>
    </mc:Choice>
  </mc:AlternateContent>
  <bookViews>
    <workbookView xWindow="0" yWindow="0" windowWidth="28800" windowHeight="11475" firstSheet="1" activeTab="1"/>
  </bookViews>
  <sheets>
    <sheet name="LISIANTHUS" sheetId="1" state="hidden" r:id="rId1"/>
    <sheet name="Lisianthus Invernadero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2" l="1"/>
  <c r="D46" i="2"/>
  <c r="G46" i="2" s="1"/>
  <c r="E115" i="2" l="1"/>
  <c r="D115" i="2"/>
  <c r="G9" i="2" s="1"/>
  <c r="G12" i="2" s="1"/>
  <c r="G91" i="2" s="1"/>
  <c r="C115" i="2"/>
  <c r="C106" i="2"/>
  <c r="G86" i="2"/>
  <c r="C109" i="2" s="1"/>
  <c r="G77" i="2"/>
  <c r="G76" i="2"/>
  <c r="D75" i="2"/>
  <c r="G75" i="2" s="1"/>
  <c r="G74" i="2"/>
  <c r="G73" i="2"/>
  <c r="G72" i="2"/>
  <c r="G71" i="2"/>
  <c r="G70" i="2"/>
  <c r="G69" i="2"/>
  <c r="G68" i="2"/>
  <c r="G66" i="2"/>
  <c r="D66" i="2"/>
  <c r="G65" i="2"/>
  <c r="G64" i="2"/>
  <c r="G63" i="2"/>
  <c r="G62" i="2"/>
  <c r="G61" i="2"/>
  <c r="G60" i="2"/>
  <c r="G59" i="2"/>
  <c r="G57" i="2"/>
  <c r="G56" i="2"/>
  <c r="G53" i="2"/>
  <c r="G52" i="2"/>
  <c r="G51" i="2"/>
  <c r="G50" i="2"/>
  <c r="G49" i="2"/>
  <c r="G48" i="2"/>
  <c r="G78" i="2" s="1"/>
  <c r="G39" i="2"/>
  <c r="G41" i="2" s="1"/>
  <c r="C107" i="2" s="1"/>
  <c r="D28" i="2"/>
  <c r="G28" i="2" s="1"/>
  <c r="G27" i="2"/>
  <c r="D26" i="2"/>
  <c r="G26" i="2" s="1"/>
  <c r="G25" i="2"/>
  <c r="G24" i="2"/>
  <c r="G22" i="2"/>
  <c r="D21" i="2"/>
  <c r="G21" i="2" s="1"/>
  <c r="C108" i="2" l="1"/>
  <c r="G30" i="2"/>
  <c r="E112" i="1"/>
  <c r="D112" i="1"/>
  <c r="G9" i="1" s="1"/>
  <c r="G12" i="1" s="1"/>
  <c r="C112" i="1"/>
  <c r="F64" i="1"/>
  <c r="F44" i="1"/>
  <c r="F63" i="1"/>
  <c r="F51" i="1"/>
  <c r="C105" i="2" l="1"/>
  <c r="G88" i="2"/>
  <c r="G89" i="2" s="1"/>
  <c r="D64" i="1"/>
  <c r="G66" i="1"/>
  <c r="G90" i="2" l="1"/>
  <c r="G92" i="2" s="1"/>
  <c r="C110" i="2"/>
  <c r="G64" i="1"/>
  <c r="F75" i="1"/>
  <c r="D73" i="1"/>
  <c r="G63" i="1"/>
  <c r="G60" i="1"/>
  <c r="G38" i="1"/>
  <c r="D44" i="1"/>
  <c r="D26" i="1"/>
  <c r="D21" i="1"/>
  <c r="C111" i="2" l="1"/>
  <c r="D110" i="2" s="1"/>
  <c r="G68" i="1"/>
  <c r="G51" i="1"/>
  <c r="G62" i="1"/>
  <c r="G67" i="1"/>
  <c r="G69" i="1"/>
  <c r="G61" i="1"/>
  <c r="G74" i="1"/>
  <c r="G70" i="1"/>
  <c r="D28" i="1"/>
  <c r="G28" i="1" s="1"/>
  <c r="G75" i="1"/>
  <c r="C116" i="2" l="1"/>
  <c r="E116" i="2"/>
  <c r="D116" i="2"/>
  <c r="D107" i="2"/>
  <c r="D109" i="2"/>
  <c r="D108" i="2"/>
  <c r="D105" i="2"/>
  <c r="G73" i="1"/>
  <c r="D111" i="2" l="1"/>
  <c r="C103" i="1"/>
  <c r="G59" i="1"/>
  <c r="G58" i="1"/>
  <c r="G57" i="1"/>
  <c r="G72" i="1"/>
  <c r="G71" i="1"/>
  <c r="G25" i="1"/>
  <c r="G22" i="1"/>
  <c r="G55" i="1"/>
  <c r="G54" i="1"/>
  <c r="G50" i="1"/>
  <c r="G47" i="1"/>
  <c r="G46" i="1"/>
  <c r="G44" i="1"/>
  <c r="G26" i="1"/>
  <c r="G21" i="1"/>
  <c r="G27" i="1" l="1"/>
  <c r="G24" i="1"/>
  <c r="G29" i="1" s="1"/>
  <c r="G83" i="1"/>
  <c r="C106" i="1" s="1"/>
  <c r="G49" i="1"/>
  <c r="G48" i="1"/>
  <c r="G76" i="1" s="1"/>
  <c r="G88" i="1"/>
  <c r="C105" i="1" l="1"/>
  <c r="G40" i="1"/>
  <c r="C104" i="1" s="1"/>
  <c r="C102" i="1" l="1"/>
  <c r="G85" i="1"/>
  <c r="G86" i="1" s="1"/>
  <c r="G87" i="1" l="1"/>
  <c r="G89" i="1" s="1"/>
  <c r="C107" i="1"/>
  <c r="C108" i="1" l="1"/>
  <c r="D107" i="1" s="1"/>
  <c r="D105" i="1" l="1"/>
  <c r="D113" i="1"/>
  <c r="D102" i="1"/>
  <c r="D106" i="1"/>
  <c r="C113" i="1"/>
  <c r="E113" i="1"/>
  <c r="D104" i="1"/>
  <c r="D108" i="1" l="1"/>
  <c r="G90" i="1"/>
  <c r="G93" i="2"/>
</calcChain>
</file>

<file path=xl/sharedStrings.xml><?xml version="1.0" encoding="utf-8"?>
<sst xmlns="http://schemas.openxmlformats.org/spreadsheetml/2006/main" count="413" uniqueCount="151">
  <si>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</si>
  <si>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</si>
  <si>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</si>
  <si>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</si>
  <si>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</si>
  <si>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</si>
  <si>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</si>
  <si>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</si>
  <si>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</si>
  <si>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</si>
  <si>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</si>
  <si>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</si>
  <si>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</si>
  <si>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</si>
  <si>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</si>
  <si>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</si>
  <si>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</si>
  <si>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</si>
  <si>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</si>
  <si>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</si>
  <si>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</si>
  <si>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</si>
  <si>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</si>
  <si>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</si>
  <si>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</si>
  <si>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</si>
  <si>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</si>
  <si>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</si>
  <si>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</si>
  <si>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</si>
  <si>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</si>
  <si>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</si>
  <si>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</si>
  <si>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</si>
  <si>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</si>
  <si>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</si>
  <si>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</si>
  <si>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</si>
  <si>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</si>
  <si>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</si>
  <si>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</si>
  <si>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</si>
  <si>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</si>
  <si>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</si>
  <si>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</si>
  <si>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</si>
  <si>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</si>
  <si>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</si>
  <si>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</si>
  <si>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</si>
  <si>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</si>
  <si>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</si>
  <si>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</si>
  <si>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</si>
  <si>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</si>
  <si>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</si>
  <si>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</si>
  <si>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</si>
  <si>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</si>
  <si>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</si>
  <si>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</si>
  <si>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VALPARAISO</t>
  </si>
  <si>
    <t>TODO EL AÑO</t>
  </si>
  <si>
    <t>Plantación</t>
  </si>
  <si>
    <t xml:space="preserve">Desinfecciones </t>
  </si>
  <si>
    <t>Cosecha</t>
  </si>
  <si>
    <t>Pinzado</t>
  </si>
  <si>
    <t>Preparación de suelo</t>
  </si>
  <si>
    <t>todo el año</t>
  </si>
  <si>
    <t>un</t>
  </si>
  <si>
    <t>Nitrato Potasio</t>
  </si>
  <si>
    <t xml:space="preserve">Nitrato de amonio </t>
  </si>
  <si>
    <t>Nitrato de magnesio</t>
  </si>
  <si>
    <t>Fosfato Monopotasico</t>
  </si>
  <si>
    <t>Nitrato de calcio</t>
  </si>
  <si>
    <t>Oxifluirfen</t>
  </si>
  <si>
    <t>l</t>
  </si>
  <si>
    <t>Paraquat</t>
  </si>
  <si>
    <t>L</t>
  </si>
  <si>
    <t>Abamectina</t>
  </si>
  <si>
    <t>Protectores aplicacdores</t>
  </si>
  <si>
    <t>z</t>
  </si>
  <si>
    <t>Labores de mantencion y limpieza</t>
  </si>
  <si>
    <t>Reposicion polietileno (50 % superficie)</t>
  </si>
  <si>
    <t>Maderas reposicion</t>
  </si>
  <si>
    <t>marzo-abril</t>
  </si>
  <si>
    <t>paq 50 un</t>
  </si>
  <si>
    <t>Tiametoxam + lanbda cihaotrina</t>
  </si>
  <si>
    <t>1 l</t>
  </si>
  <si>
    <t>Lambda cihalotrina</t>
  </si>
  <si>
    <t>1/4 L</t>
  </si>
  <si>
    <t>FUNGICDAS E INSECTICIDAS</t>
  </si>
  <si>
    <t>mes</t>
  </si>
  <si>
    <t>set</t>
  </si>
  <si>
    <t>Repocision cintas de riego</t>
  </si>
  <si>
    <t>m</t>
  </si>
  <si>
    <t>COSTOS DIRECTOS DE PRODUCCIÓN 1050 M2 (5 INV)  (INCLUYE IVA)</t>
  </si>
  <si>
    <t>Preparacion cama e instalación de cintas</t>
  </si>
  <si>
    <t>Diciembre</t>
  </si>
  <si>
    <t>Todo el año</t>
  </si>
  <si>
    <t>noviembre</t>
  </si>
  <si>
    <t>Electricidad riego</t>
  </si>
  <si>
    <t>Repocision malla tutora</t>
  </si>
  <si>
    <t>rollo 420</t>
  </si>
  <si>
    <t>Propamocarb</t>
  </si>
  <si>
    <t>Bioestimulantes foliares (genérico)</t>
  </si>
  <si>
    <t>Extractos algas (genérico)</t>
  </si>
  <si>
    <t>Estimulantes radiculares</t>
  </si>
  <si>
    <t>Carbendazima</t>
  </si>
  <si>
    <t>Microelementos /fetrilon combi</t>
  </si>
  <si>
    <t>2 kg</t>
  </si>
  <si>
    <t>rollo 100 m</t>
  </si>
  <si>
    <t>Polietileno reparacion 50 %  del total</t>
  </si>
  <si>
    <t>LISIANTHUS</t>
  </si>
  <si>
    <t>PRECIO ESPERADO ($/RAMO)</t>
  </si>
  <si>
    <t>Alto</t>
  </si>
  <si>
    <t>enero</t>
  </si>
  <si>
    <t>Sin pinzado</t>
  </si>
  <si>
    <t>diciembre</t>
  </si>
  <si>
    <t>Ciprodinilo + fludioxonilo</t>
  </si>
  <si>
    <t>1 kg</t>
  </si>
  <si>
    <t>mayo-agosto</t>
  </si>
  <si>
    <t>Iprodinoe</t>
  </si>
  <si>
    <t>Rendimiento (ramos/año x 5 inv)</t>
  </si>
  <si>
    <t>Costo unitario ($/ramo)</t>
  </si>
  <si>
    <t>Diversas</t>
  </si>
  <si>
    <t>RENDIMIENTO Ramos/ 1050 m2</t>
  </si>
  <si>
    <t>MERCADO INTERNO</t>
  </si>
  <si>
    <t xml:space="preserve">Entutorado </t>
  </si>
  <si>
    <t>Marzo</t>
  </si>
  <si>
    <t>ab- ag; nov- dic</t>
  </si>
  <si>
    <t>Compost</t>
  </si>
  <si>
    <t>m3</t>
  </si>
  <si>
    <t>Metan Sodio</t>
  </si>
  <si>
    <t>20 l</t>
  </si>
  <si>
    <t>LA CALERA</t>
  </si>
  <si>
    <t>Ab-Mayo; Nov-Dic</t>
  </si>
  <si>
    <t>ESCENARIOS COSTO UNITARIO  ($/Ramo)</t>
  </si>
  <si>
    <t xml:space="preserve">Plantin </t>
  </si>
  <si>
    <t>SEQUÍA</t>
  </si>
  <si>
    <t>JM</t>
  </si>
  <si>
    <t>hora</t>
  </si>
  <si>
    <r>
      <rPr>
        <u/>
        <sz val="8"/>
        <color rgb="FF000000"/>
        <rFont val="Calibri"/>
        <family val="2"/>
      </rPr>
      <t>Fuente</t>
    </r>
    <r>
      <rPr>
        <sz val="8"/>
        <color rgb="FF000000"/>
        <rFont val="Calibri"/>
        <family val="2"/>
      </rPr>
      <t>: INDAP</t>
    </r>
  </si>
  <si>
    <r>
      <rPr>
        <b/>
        <u/>
        <sz val="7"/>
        <color rgb="FF000000"/>
        <rFont val="Calibri"/>
        <family val="2"/>
      </rPr>
      <t>Notas</t>
    </r>
    <r>
      <rPr>
        <b/>
        <sz val="7"/>
        <color rgb="FF000000"/>
        <rFont val="Calibri"/>
        <family val="2"/>
      </rPr>
      <t>:</t>
    </r>
  </si>
  <si>
    <t>MEDIO</t>
  </si>
  <si>
    <t>LA LIGUA</t>
  </si>
  <si>
    <t>LISIANTHUS INVERNADERO</t>
  </si>
  <si>
    <t>Sequía, Alza de precios de los insumos</t>
  </si>
  <si>
    <t>Compra de agua</t>
  </si>
  <si>
    <r>
      <t>m</t>
    </r>
    <r>
      <rPr>
        <sz val="8"/>
        <color rgb="FF000000"/>
        <rFont val="Calibri"/>
        <family val="2"/>
      </rPr>
      <t>³</t>
    </r>
  </si>
  <si>
    <t>diciembre a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</si>
</sst>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.00&quot; &quot;;&quot;-&quot;* #,##0.00&quot; &quot;;&quot; &quot;* &quot;-&quot;??&quot; &quot;"/>
    <numFmt numFmtId="167" formatCode="#,##0.0"/>
    <numFmt numFmtId="168" formatCode="&quot; &quot;* #,##0&quot;   &quot;;&quot;-&quot;* #,##0&quot;   &quot;;&quot; &quot;* &quot;-&quot;??&quot;   &quot;"/>
    <numFmt numFmtId="169" formatCode="&quot; &quot;* #,##0&quot; &quot;;&quot; &quot;* &quot;-&quot;#,##0&quot; &quot;;&quot; &quot;* &quot;- &quot;"/>
  </numFmts>
  <fonts count="4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sz val="9"/>
      <color rgb="FFFFFFFF"/>
      <name val="Calibri"/>
      <family val="2"/>
    </font>
    <font>
      <sz val="8"/>
      <color rgb="FF000000"/>
      <name val="Arial Narrow"/>
      <family val="2"/>
    </font>
    <font>
      <sz val="9"/>
      <color rgb="FF000000"/>
      <name val="Arial Narrow"/>
      <family val="2"/>
    </font>
    <font>
      <b/>
      <i/>
      <sz val="9"/>
      <color rgb="FFFFFFFF"/>
      <name val="Calibri"/>
      <family val="2"/>
    </font>
    <font>
      <sz val="8"/>
      <color rgb="FFFFFFFF"/>
      <name val="Arial Narrow"/>
      <family val="2"/>
    </font>
    <font>
      <b/>
      <sz val="8"/>
      <color rgb="FF000000"/>
      <name val="Arial Narrow"/>
      <family val="2"/>
    </font>
    <font>
      <sz val="11"/>
      <color rgb="FF000000"/>
      <name val="Calibri"/>
      <family val="2"/>
    </font>
    <font>
      <sz val="9"/>
      <color rgb="FFFFFFFF"/>
      <name val="Arial Narrow"/>
      <family val="2"/>
    </font>
    <font>
      <b/>
      <sz val="7"/>
      <color rgb="FFFFFFFF"/>
      <name val="Calibri"/>
      <family val="2"/>
    </font>
    <font>
      <u/>
      <sz val="8"/>
      <color rgb="FF000000"/>
      <name val="Calibri"/>
      <family val="2"/>
    </font>
    <font>
      <sz val="8"/>
      <color rgb="FF000000"/>
      <name val="Calibri"/>
      <family val="2"/>
    </font>
    <font>
      <b/>
      <sz val="7"/>
      <color rgb="FF000000"/>
      <name val="Calibri"/>
      <family val="2"/>
    </font>
    <font>
      <b/>
      <u/>
      <sz val="7"/>
      <color rgb="FF000000"/>
      <name val="Calibri"/>
      <family val="2"/>
    </font>
    <font>
      <sz val="7"/>
      <color rgb="FF000000"/>
      <name val="Calibri"/>
      <family val="2"/>
    </font>
    <font>
      <b/>
      <sz val="7"/>
      <color rgb="FFFEFEFE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  <font>
      <b/>
      <sz val="7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rgb="FFFF891C"/>
        <bgColor auto="1"/>
      </patternFill>
    </fill>
    <fill>
      <patternFill patternType="solid">
        <fgColor rgb="FF388194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  <fill>
      <patternFill patternType="solid">
        <fgColor rgb="FFFFFF00"/>
        <bgColor indexed="64"/>
      </patternFill>
    </fill>
  </fills>
  <borders count="10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7F7F7F"/>
      </right>
      <top style="thin">
        <color rgb="FFAAAAAA"/>
      </top>
      <bottom style="thin">
        <color rgb="FFAAAAAA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AAAAAA"/>
      </left>
      <right style="medium">
        <color rgb="FF000000"/>
      </right>
      <top style="thin">
        <color rgb="FFAAAAAA"/>
      </top>
      <bottom style="thin">
        <color rgb="FFAAAAAA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3">
    <xf numFmtId="0" fontId="0" fillId="0" borderId="0" applyNumberFormat="0" applyFill="0" applyBorder="0" applyProtection="0"/>
    <xf numFmtId="165" fontId="19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32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7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9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8" fontId="1" fillId="2" borderId="23" xfId="0" applyNumberFormat="1" applyFont="1" applyFill="1" applyBorder="1" applyAlignment="1">
      <alignment vertical="center"/>
    </xf>
    <xf numFmtId="168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8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8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8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8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9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4" fillId="2" borderId="6" xfId="0" applyNumberFormat="1" applyFont="1" applyFill="1" applyBorder="1" applyAlignment="1"/>
    <xf numFmtId="3" fontId="4" fillId="2" borderId="56" xfId="0" applyNumberFormat="1" applyFont="1" applyFill="1" applyBorder="1" applyAlignment="1"/>
    <xf numFmtId="0" fontId="20" fillId="2" borderId="1" xfId="0" applyFont="1" applyFill="1" applyBorder="1" applyAlignment="1"/>
    <xf numFmtId="49" fontId="4" fillId="2" borderId="6" xfId="0" applyNumberFormat="1" applyFont="1" applyFill="1" applyBorder="1" applyAlignment="1">
      <alignment horizontal="left"/>
    </xf>
    <xf numFmtId="49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 applyAlignment="1"/>
    <xf numFmtId="165" fontId="13" fillId="8" borderId="55" xfId="1" applyFont="1" applyFill="1" applyBorder="1" applyAlignment="1">
      <alignment vertical="center"/>
    </xf>
    <xf numFmtId="165" fontId="4" fillId="2" borderId="6" xfId="1" applyFont="1" applyFill="1" applyBorder="1" applyAlignment="1"/>
    <xf numFmtId="3" fontId="0" fillId="0" borderId="0" xfId="0" applyNumberFormat="1" applyFont="1" applyAlignment="1"/>
    <xf numFmtId="49" fontId="2" fillId="2" borderId="6" xfId="0" applyNumberFormat="1" applyFont="1" applyFill="1" applyBorder="1" applyAlignment="1">
      <alignment horizontal="right" wrapText="1"/>
    </xf>
    <xf numFmtId="164" fontId="0" fillId="0" borderId="0" xfId="2" applyFont="1" applyAlignment="1"/>
    <xf numFmtId="3" fontId="4" fillId="10" borderId="6" xfId="0" applyNumberFormat="1" applyFont="1" applyFill="1" applyBorder="1" applyAlignment="1"/>
    <xf numFmtId="166" fontId="4" fillId="10" borderId="6" xfId="0" applyNumberFormat="1" applyFont="1" applyFill="1" applyBorder="1" applyAlignment="1"/>
    <xf numFmtId="0" fontId="0" fillId="11" borderId="58" xfId="0" applyFont="1" applyFill="1" applyBorder="1" applyAlignment="1"/>
    <xf numFmtId="0" fontId="0" fillId="0" borderId="23" xfId="0" applyNumberFormat="1" applyFont="1" applyFill="1" applyBorder="1" applyAlignment="1"/>
    <xf numFmtId="0" fontId="0" fillId="0" borderId="23" xfId="0" applyFont="1" applyFill="1" applyBorder="1" applyAlignment="1"/>
    <xf numFmtId="0" fontId="0" fillId="11" borderId="59" xfId="0" applyFont="1" applyFill="1" applyBorder="1" applyAlignment="1"/>
    <xf numFmtId="0" fontId="0" fillId="11" borderId="60" xfId="0" applyFont="1" applyFill="1" applyBorder="1" applyAlignment="1"/>
    <xf numFmtId="0" fontId="0" fillId="11" borderId="61" xfId="0" applyFont="1" applyFill="1" applyBorder="1" applyAlignment="1"/>
    <xf numFmtId="49" fontId="22" fillId="12" borderId="62" xfId="0" applyNumberFormat="1" applyFont="1" applyFill="1" applyBorder="1" applyAlignment="1">
      <alignment vertical="center" wrapText="1"/>
    </xf>
    <xf numFmtId="49" fontId="23" fillId="11" borderId="63" xfId="0" applyNumberFormat="1" applyFont="1" applyFill="1" applyBorder="1" applyAlignment="1">
      <alignment horizontal="right" wrapText="1"/>
    </xf>
    <xf numFmtId="0" fontId="23" fillId="11" borderId="64" xfId="0" applyFont="1" applyFill="1" applyBorder="1" applyAlignment="1"/>
    <xf numFmtId="3" fontId="23" fillId="11" borderId="63" xfId="0" applyNumberFormat="1" applyFont="1" applyFill="1" applyBorder="1" applyAlignment="1"/>
    <xf numFmtId="49" fontId="25" fillId="11" borderId="62" xfId="0" applyNumberFormat="1" applyFont="1" applyFill="1" applyBorder="1" applyAlignment="1">
      <alignment vertical="center" wrapText="1"/>
    </xf>
    <xf numFmtId="49" fontId="25" fillId="11" borderId="63" xfId="0" applyNumberFormat="1" applyFont="1" applyFill="1" applyBorder="1" applyAlignment="1">
      <alignment horizontal="center" vertical="center" wrapText="1"/>
    </xf>
    <xf numFmtId="0" fontId="26" fillId="11" borderId="64" xfId="0" applyFont="1" applyFill="1" applyBorder="1" applyAlignment="1"/>
    <xf numFmtId="49" fontId="25" fillId="11" borderId="63" xfId="0" applyNumberFormat="1" applyFont="1" applyFill="1" applyBorder="1" applyAlignment="1">
      <alignment horizontal="right"/>
    </xf>
    <xf numFmtId="166" fontId="25" fillId="14" borderId="63" xfId="0" applyNumberFormat="1" applyFont="1" applyFill="1" applyBorder="1" applyAlignment="1"/>
    <xf numFmtId="49" fontId="25" fillId="11" borderId="63" xfId="0" applyNumberFormat="1" applyFont="1" applyFill="1" applyBorder="1" applyAlignment="1">
      <alignment horizontal="right" wrapText="1"/>
    </xf>
    <xf numFmtId="49" fontId="25" fillId="11" borderId="63" xfId="0" applyNumberFormat="1" applyFont="1" applyFill="1" applyBorder="1" applyAlignment="1"/>
    <xf numFmtId="0" fontId="25" fillId="11" borderId="63" xfId="0" applyFont="1" applyFill="1" applyBorder="1" applyAlignment="1"/>
    <xf numFmtId="3" fontId="25" fillId="11" borderId="63" xfId="0" applyNumberFormat="1" applyFont="1" applyFill="1" applyBorder="1" applyAlignment="1">
      <alignment horizontal="right" wrapText="1"/>
    </xf>
    <xf numFmtId="0" fontId="23" fillId="11" borderId="65" xfId="0" applyFont="1" applyFill="1" applyBorder="1" applyAlignment="1">
      <alignment wrapText="1"/>
    </xf>
    <xf numFmtId="14" fontId="23" fillId="11" borderId="66" xfId="0" applyNumberFormat="1" applyFont="1" applyFill="1" applyBorder="1" applyAlignment="1"/>
    <xf numFmtId="0" fontId="23" fillId="11" borderId="60" xfId="0" applyFont="1" applyFill="1" applyBorder="1" applyAlignment="1"/>
    <xf numFmtId="0" fontId="23" fillId="11" borderId="66" xfId="0" applyFont="1" applyFill="1" applyBorder="1" applyAlignment="1"/>
    <xf numFmtId="0" fontId="23" fillId="11" borderId="66" xfId="0" applyFont="1" applyFill="1" applyBorder="1" applyAlignment="1">
      <alignment horizontal="justify" wrapText="1"/>
    </xf>
    <xf numFmtId="0" fontId="0" fillId="11" borderId="67" xfId="0" applyFont="1" applyFill="1" applyBorder="1" applyAlignment="1"/>
    <xf numFmtId="0" fontId="23" fillId="11" borderId="68" xfId="0" applyFont="1" applyFill="1" applyBorder="1" applyAlignment="1"/>
    <xf numFmtId="0" fontId="23" fillId="11" borderId="69" xfId="0" applyFont="1" applyFill="1" applyBorder="1" applyAlignment="1">
      <alignment horizontal="left"/>
    </xf>
    <xf numFmtId="0" fontId="23" fillId="11" borderId="69" xfId="0" applyFont="1" applyFill="1" applyBorder="1" applyAlignment="1"/>
    <xf numFmtId="49" fontId="22" fillId="15" borderId="70" xfId="0" applyNumberFormat="1" applyFont="1" applyFill="1" applyBorder="1" applyAlignment="1">
      <alignment vertical="center"/>
    </xf>
    <xf numFmtId="0" fontId="23" fillId="11" borderId="71" xfId="0" applyFont="1" applyFill="1" applyBorder="1" applyAlignment="1">
      <alignment vertical="center"/>
    </xf>
    <xf numFmtId="0" fontId="23" fillId="11" borderId="60" xfId="0" applyFont="1" applyFill="1" applyBorder="1" applyAlignment="1">
      <alignment vertical="center"/>
    </xf>
    <xf numFmtId="49" fontId="22" fillId="12" borderId="63" xfId="0" applyNumberFormat="1" applyFont="1" applyFill="1" applyBorder="1" applyAlignment="1">
      <alignment horizontal="center" vertical="center" wrapText="1"/>
    </xf>
    <xf numFmtId="49" fontId="25" fillId="11" borderId="63" xfId="0" applyNumberFormat="1" applyFont="1" applyFill="1" applyBorder="1" applyAlignment="1">
      <alignment wrapText="1"/>
    </xf>
    <xf numFmtId="49" fontId="25" fillId="11" borderId="63" xfId="0" applyNumberFormat="1" applyFont="1" applyFill="1" applyBorder="1" applyAlignment="1">
      <alignment horizontal="center" wrapText="1"/>
    </xf>
    <xf numFmtId="0" fontId="25" fillId="11" borderId="63" xfId="0" applyNumberFormat="1" applyFont="1" applyFill="1" applyBorder="1" applyAlignment="1">
      <alignment wrapText="1"/>
    </xf>
    <xf numFmtId="49" fontId="25" fillId="11" borderId="63" xfId="0" applyNumberFormat="1" applyFont="1" applyFill="1" applyBorder="1" applyAlignment="1">
      <alignment horizontal="left"/>
    </xf>
    <xf numFmtId="49" fontId="28" fillId="12" borderId="63" xfId="0" applyNumberFormat="1" applyFont="1" applyFill="1" applyBorder="1" applyAlignment="1">
      <alignment vertical="center"/>
    </xf>
    <xf numFmtId="0" fontId="28" fillId="12" borderId="63" xfId="0" applyFont="1" applyFill="1" applyBorder="1" applyAlignment="1">
      <alignment horizontal="center" vertical="center"/>
    </xf>
    <xf numFmtId="0" fontId="28" fillId="12" borderId="63" xfId="0" applyFont="1" applyFill="1" applyBorder="1" applyAlignment="1">
      <alignment vertical="center"/>
    </xf>
    <xf numFmtId="3" fontId="28" fillId="12" borderId="63" xfId="0" applyNumberFormat="1" applyFont="1" applyFill="1" applyBorder="1" applyAlignment="1">
      <alignment vertical="center"/>
    </xf>
    <xf numFmtId="3" fontId="0" fillId="0" borderId="23" xfId="0" applyNumberFormat="1" applyFont="1" applyFill="1" applyBorder="1" applyAlignment="1"/>
    <xf numFmtId="3" fontId="23" fillId="11" borderId="69" xfId="0" applyNumberFormat="1" applyFont="1" applyFill="1" applyBorder="1" applyAlignment="1"/>
    <xf numFmtId="49" fontId="22" fillId="15" borderId="57" xfId="0" applyNumberFormat="1" applyFont="1" applyFill="1" applyBorder="1" applyAlignment="1">
      <alignment vertical="center"/>
    </xf>
    <xf numFmtId="0" fontId="23" fillId="11" borderId="72" xfId="0" applyFont="1" applyFill="1" applyBorder="1" applyAlignment="1">
      <alignment horizontal="center" vertical="center"/>
    </xf>
    <xf numFmtId="0" fontId="23" fillId="11" borderId="59" xfId="0" applyFont="1" applyFill="1" applyBorder="1" applyAlignment="1">
      <alignment horizontal="center" vertical="center"/>
    </xf>
    <xf numFmtId="0" fontId="23" fillId="11" borderId="59" xfId="0" applyFont="1" applyFill="1" applyBorder="1" applyAlignment="1">
      <alignment vertical="center"/>
    </xf>
    <xf numFmtId="49" fontId="22" fillId="12" borderId="57" xfId="0" applyNumberFormat="1" applyFont="1" applyFill="1" applyBorder="1" applyAlignment="1">
      <alignment horizontal="center" vertical="center"/>
    </xf>
    <xf numFmtId="49" fontId="22" fillId="12" borderId="57" xfId="0" applyNumberFormat="1" applyFont="1" applyFill="1" applyBorder="1" applyAlignment="1">
      <alignment horizontal="center" vertical="center" wrapText="1"/>
    </xf>
    <xf numFmtId="0" fontId="23" fillId="11" borderId="57" xfId="0" applyFont="1" applyFill="1" applyBorder="1" applyAlignment="1">
      <alignment vertical="center"/>
    </xf>
    <xf numFmtId="0" fontId="23" fillId="11" borderId="57" xfId="0" applyFont="1" applyFill="1" applyBorder="1" applyAlignment="1">
      <alignment horizontal="center" vertical="center"/>
    </xf>
    <xf numFmtId="49" fontId="24" fillId="12" borderId="57" xfId="0" applyNumberFormat="1" applyFont="1" applyFill="1" applyBorder="1" applyAlignment="1">
      <alignment vertical="center"/>
    </xf>
    <xf numFmtId="0" fontId="24" fillId="12" borderId="57" xfId="0" applyFont="1" applyFill="1" applyBorder="1" applyAlignment="1">
      <alignment horizontal="center" vertical="center"/>
    </xf>
    <xf numFmtId="0" fontId="24" fillId="12" borderId="57" xfId="0" applyFont="1" applyFill="1" applyBorder="1" applyAlignment="1">
      <alignment vertical="center"/>
    </xf>
    <xf numFmtId="0" fontId="23" fillId="11" borderId="73" xfId="0" applyFont="1" applyFill="1" applyBorder="1" applyAlignment="1"/>
    <xf numFmtId="0" fontId="23" fillId="11" borderId="74" xfId="0" applyFont="1" applyFill="1" applyBorder="1" applyAlignment="1"/>
    <xf numFmtId="3" fontId="23" fillId="11" borderId="74" xfId="0" applyNumberFormat="1" applyFont="1" applyFill="1" applyBorder="1" applyAlignment="1"/>
    <xf numFmtId="49" fontId="22" fillId="12" borderId="70" xfId="0" applyNumberFormat="1" applyFont="1" applyFill="1" applyBorder="1" applyAlignment="1">
      <alignment horizontal="center" vertical="center"/>
    </xf>
    <xf numFmtId="49" fontId="22" fillId="12" borderId="70" xfId="0" applyNumberFormat="1" applyFont="1" applyFill="1" applyBorder="1" applyAlignment="1">
      <alignment horizontal="center" vertical="center" wrapText="1"/>
    </xf>
    <xf numFmtId="49" fontId="28" fillId="12" borderId="57" xfId="0" applyNumberFormat="1" applyFont="1" applyFill="1" applyBorder="1" applyAlignment="1">
      <alignment vertical="center"/>
    </xf>
    <xf numFmtId="0" fontId="28" fillId="12" borderId="57" xfId="0" applyFont="1" applyFill="1" applyBorder="1" applyAlignment="1">
      <alignment horizontal="center" vertical="center"/>
    </xf>
    <xf numFmtId="0" fontId="28" fillId="12" borderId="57" xfId="0" applyFont="1" applyFill="1" applyBorder="1" applyAlignment="1">
      <alignment vertical="center"/>
    </xf>
    <xf numFmtId="3" fontId="28" fillId="12" borderId="57" xfId="0" applyNumberFormat="1" applyFont="1" applyFill="1" applyBorder="1" applyAlignment="1">
      <alignment vertical="center"/>
    </xf>
    <xf numFmtId="0" fontId="25" fillId="11" borderId="63" xfId="0" applyFont="1" applyFill="1" applyBorder="1" applyAlignment="1">
      <alignment horizontal="center"/>
    </xf>
    <xf numFmtId="3" fontId="25" fillId="11" borderId="63" xfId="0" applyNumberFormat="1" applyFont="1" applyFill="1" applyBorder="1" applyAlignment="1"/>
    <xf numFmtId="49" fontId="29" fillId="11" borderId="63" xfId="0" applyNumberFormat="1" applyFont="1" applyFill="1" applyBorder="1" applyAlignment="1"/>
    <xf numFmtId="49" fontId="25" fillId="11" borderId="63" xfId="0" applyNumberFormat="1" applyFont="1" applyFill="1" applyBorder="1" applyAlignment="1">
      <alignment horizontal="center"/>
    </xf>
    <xf numFmtId="0" fontId="25" fillId="11" borderId="63" xfId="0" applyNumberFormat="1" applyFont="1" applyFill="1" applyBorder="1" applyAlignment="1"/>
    <xf numFmtId="165" fontId="25" fillId="11" borderId="63" xfId="1" applyFont="1" applyFill="1" applyBorder="1" applyAlignment="1"/>
    <xf numFmtId="3" fontId="25" fillId="14" borderId="63" xfId="0" applyNumberFormat="1" applyFont="1" applyFill="1" applyBorder="1" applyAlignment="1"/>
    <xf numFmtId="49" fontId="25" fillId="11" borderId="75" xfId="0" applyNumberFormat="1" applyFont="1" applyFill="1" applyBorder="1" applyAlignment="1"/>
    <xf numFmtId="49" fontId="25" fillId="11" borderId="75" xfId="0" applyNumberFormat="1" applyFont="1" applyFill="1" applyBorder="1" applyAlignment="1">
      <alignment horizontal="center"/>
    </xf>
    <xf numFmtId="0" fontId="25" fillId="11" borderId="75" xfId="0" applyNumberFormat="1" applyFont="1" applyFill="1" applyBorder="1" applyAlignment="1"/>
    <xf numFmtId="3" fontId="25" fillId="11" borderId="75" xfId="0" applyNumberFormat="1" applyFont="1" applyFill="1" applyBorder="1" applyAlignment="1"/>
    <xf numFmtId="49" fontId="25" fillId="11" borderId="76" xfId="0" applyNumberFormat="1" applyFont="1" applyFill="1" applyBorder="1" applyAlignment="1"/>
    <xf numFmtId="49" fontId="25" fillId="11" borderId="76" xfId="0" applyNumberFormat="1" applyFont="1" applyFill="1" applyBorder="1" applyAlignment="1">
      <alignment horizontal="center"/>
    </xf>
    <xf numFmtId="0" fontId="25" fillId="11" borderId="76" xfId="0" applyNumberFormat="1" applyFont="1" applyFill="1" applyBorder="1" applyAlignment="1"/>
    <xf numFmtId="3" fontId="25" fillId="11" borderId="76" xfId="0" applyNumberFormat="1" applyFont="1" applyFill="1" applyBorder="1" applyAlignment="1"/>
    <xf numFmtId="49" fontId="31" fillId="12" borderId="57" xfId="0" applyNumberFormat="1" applyFont="1" applyFill="1" applyBorder="1" applyAlignment="1">
      <alignment vertical="center"/>
    </xf>
    <xf numFmtId="0" fontId="31" fillId="12" borderId="57" xfId="0" applyFont="1" applyFill="1" applyBorder="1" applyAlignment="1">
      <alignment horizontal="center" vertical="center"/>
    </xf>
    <xf numFmtId="0" fontId="31" fillId="12" borderId="57" xfId="0" applyFont="1" applyFill="1" applyBorder="1" applyAlignment="1">
      <alignment vertical="center"/>
    </xf>
    <xf numFmtId="3" fontId="31" fillId="12" borderId="57" xfId="0" applyNumberFormat="1" applyFont="1" applyFill="1" applyBorder="1" applyAlignment="1">
      <alignment vertical="center"/>
    </xf>
    <xf numFmtId="0" fontId="23" fillId="11" borderId="74" xfId="0" applyFont="1" applyFill="1" applyBorder="1" applyAlignment="1">
      <alignment horizontal="center"/>
    </xf>
    <xf numFmtId="0" fontId="30" fillId="11" borderId="58" xfId="0" applyFont="1" applyFill="1" applyBorder="1" applyAlignment="1"/>
    <xf numFmtId="167" fontId="25" fillId="11" borderId="63" xfId="0" applyNumberFormat="1" applyFont="1" applyFill="1" applyBorder="1" applyAlignment="1"/>
    <xf numFmtId="49" fontId="31" fillId="12" borderId="77" xfId="0" applyNumberFormat="1" applyFont="1" applyFill="1" applyBorder="1" applyAlignment="1">
      <alignment vertical="center"/>
    </xf>
    <xf numFmtId="0" fontId="31" fillId="12" borderId="77" xfId="0" applyFont="1" applyFill="1" applyBorder="1" applyAlignment="1">
      <alignment horizontal="center" vertical="center"/>
    </xf>
    <xf numFmtId="0" fontId="31" fillId="12" borderId="77" xfId="0" applyFont="1" applyFill="1" applyBorder="1" applyAlignment="1">
      <alignment vertical="center"/>
    </xf>
    <xf numFmtId="3" fontId="31" fillId="12" borderId="77" xfId="0" applyNumberFormat="1" applyFont="1" applyFill="1" applyBorder="1" applyAlignment="1">
      <alignment vertical="center"/>
    </xf>
    <xf numFmtId="0" fontId="23" fillId="11" borderId="78" xfId="0" applyFont="1" applyFill="1" applyBorder="1" applyAlignment="1"/>
    <xf numFmtId="3" fontId="23" fillId="11" borderId="78" xfId="0" applyNumberFormat="1" applyFont="1" applyFill="1" applyBorder="1" applyAlignment="1"/>
    <xf numFmtId="0" fontId="0" fillId="11" borderId="79" xfId="0" applyFont="1" applyFill="1" applyBorder="1" applyAlignment="1"/>
    <xf numFmtId="49" fontId="22" fillId="15" borderId="80" xfId="0" applyNumberFormat="1" applyFont="1" applyFill="1" applyBorder="1" applyAlignment="1">
      <alignment vertical="center"/>
    </xf>
    <xf numFmtId="0" fontId="22" fillId="15" borderId="81" xfId="0" applyFont="1" applyFill="1" applyBorder="1" applyAlignment="1">
      <alignment vertical="center"/>
    </xf>
    <xf numFmtId="168" fontId="22" fillId="15" borderId="82" xfId="0" applyNumberFormat="1" applyFont="1" applyFill="1" applyBorder="1" applyAlignment="1">
      <alignment vertical="center"/>
    </xf>
    <xf numFmtId="49" fontId="22" fillId="12" borderId="83" xfId="0" applyNumberFormat="1" applyFont="1" applyFill="1" applyBorder="1" applyAlignment="1">
      <alignment vertical="center"/>
    </xf>
    <xf numFmtId="0" fontId="22" fillId="12" borderId="57" xfId="0" applyFont="1" applyFill="1" applyBorder="1" applyAlignment="1">
      <alignment vertical="center"/>
    </xf>
    <xf numFmtId="168" fontId="22" fillId="12" borderId="84" xfId="0" applyNumberFormat="1" applyFont="1" applyFill="1" applyBorder="1" applyAlignment="1">
      <alignment vertical="center"/>
    </xf>
    <xf numFmtId="49" fontId="22" fillId="15" borderId="83" xfId="0" applyNumberFormat="1" applyFont="1" applyFill="1" applyBorder="1" applyAlignment="1">
      <alignment vertical="center"/>
    </xf>
    <xf numFmtId="0" fontId="22" fillId="15" borderId="57" xfId="0" applyFont="1" applyFill="1" applyBorder="1" applyAlignment="1">
      <alignment vertical="center"/>
    </xf>
    <xf numFmtId="168" fontId="22" fillId="15" borderId="84" xfId="0" applyNumberFormat="1" applyFont="1" applyFill="1" applyBorder="1" applyAlignment="1">
      <alignment vertical="center"/>
    </xf>
    <xf numFmtId="49" fontId="22" fillId="15" borderId="85" xfId="0" applyNumberFormat="1" applyFont="1" applyFill="1" applyBorder="1" applyAlignment="1">
      <alignment vertical="center"/>
    </xf>
    <xf numFmtId="0" fontId="32" fillId="15" borderId="86" xfId="0" applyFont="1" applyFill="1" applyBorder="1" applyAlignment="1">
      <alignment vertical="center"/>
    </xf>
    <xf numFmtId="168" fontId="22" fillId="16" borderId="87" xfId="0" applyNumberFormat="1" applyFont="1" applyFill="1" applyBorder="1" applyAlignment="1">
      <alignment vertical="center"/>
    </xf>
    <xf numFmtId="164" fontId="0" fillId="0" borderId="23" xfId="2" applyFont="1" applyFill="1" applyBorder="1" applyAlignment="1"/>
    <xf numFmtId="49" fontId="0" fillId="11" borderId="23" xfId="0" applyNumberFormat="1" applyFont="1" applyFill="1" applyBorder="1" applyAlignment="1">
      <alignment vertical="center"/>
    </xf>
    <xf numFmtId="0" fontId="32" fillId="11" borderId="23" xfId="0" applyFont="1" applyFill="1" applyBorder="1" applyAlignment="1">
      <alignment vertical="center"/>
    </xf>
    <xf numFmtId="168" fontId="22" fillId="11" borderId="23" xfId="0" applyNumberFormat="1" applyFont="1" applyFill="1" applyBorder="1" applyAlignment="1">
      <alignment vertical="center"/>
    </xf>
    <xf numFmtId="0" fontId="0" fillId="11" borderId="23" xfId="0" applyFont="1" applyFill="1" applyBorder="1" applyAlignment="1">
      <alignment vertical="center"/>
    </xf>
    <xf numFmtId="49" fontId="35" fillId="11" borderId="45" xfId="0" applyNumberFormat="1" applyFont="1" applyFill="1" applyBorder="1" applyAlignment="1">
      <alignment vertical="center"/>
    </xf>
    <xf numFmtId="0" fontId="37" fillId="11" borderId="46" xfId="0" applyFont="1" applyFill="1" applyBorder="1" applyAlignment="1"/>
    <xf numFmtId="0" fontId="37" fillId="11" borderId="47" xfId="0" applyFont="1" applyFill="1" applyBorder="1" applyAlignment="1"/>
    <xf numFmtId="49" fontId="37" fillId="11" borderId="48" xfId="0" applyNumberFormat="1" applyFont="1" applyFill="1" applyBorder="1" applyAlignment="1">
      <alignment vertical="center"/>
    </xf>
    <xf numFmtId="0" fontId="37" fillId="11" borderId="23" xfId="0" applyFont="1" applyFill="1" applyBorder="1" applyAlignment="1"/>
    <xf numFmtId="0" fontId="37" fillId="11" borderId="49" xfId="0" applyFont="1" applyFill="1" applyBorder="1" applyAlignment="1"/>
    <xf numFmtId="49" fontId="37" fillId="11" borderId="50" xfId="0" applyNumberFormat="1" applyFont="1" applyFill="1" applyBorder="1" applyAlignment="1">
      <alignment vertical="center"/>
    </xf>
    <xf numFmtId="0" fontId="37" fillId="11" borderId="51" xfId="0" applyFont="1" applyFill="1" applyBorder="1" applyAlignment="1"/>
    <xf numFmtId="0" fontId="37" fillId="11" borderId="52" xfId="0" applyFont="1" applyFill="1" applyBorder="1" applyAlignment="1"/>
    <xf numFmtId="0" fontId="37" fillId="11" borderId="23" xfId="0" applyFont="1" applyFill="1" applyBorder="1" applyAlignment="1">
      <alignment vertical="center"/>
    </xf>
    <xf numFmtId="0" fontId="37" fillId="17" borderId="90" xfId="0" applyFont="1" applyFill="1" applyBorder="1" applyAlignment="1"/>
    <xf numFmtId="0" fontId="37" fillId="18" borderId="23" xfId="0" applyFont="1" applyFill="1" applyBorder="1" applyAlignment="1"/>
    <xf numFmtId="0" fontId="32" fillId="18" borderId="23" xfId="0" applyFont="1" applyFill="1" applyBorder="1" applyAlignment="1">
      <alignment vertical="center"/>
    </xf>
    <xf numFmtId="49" fontId="35" fillId="19" borderId="96" xfId="0" applyNumberFormat="1" applyFont="1" applyFill="1" applyBorder="1" applyAlignment="1">
      <alignment vertical="center"/>
    </xf>
    <xf numFmtId="169" fontId="35" fillId="19" borderId="97" xfId="0" applyNumberFormat="1" applyFont="1" applyFill="1" applyBorder="1" applyAlignment="1">
      <alignment vertical="center"/>
    </xf>
    <xf numFmtId="9" fontId="35" fillId="19" borderId="98" xfId="0" applyNumberFormat="1" applyFont="1" applyFill="1" applyBorder="1" applyAlignment="1">
      <alignment vertical="center"/>
    </xf>
    <xf numFmtId="0" fontId="39" fillId="11" borderId="23" xfId="0" applyFont="1" applyFill="1" applyBorder="1" applyAlignment="1">
      <alignment vertical="center"/>
    </xf>
    <xf numFmtId="0" fontId="0" fillId="11" borderId="99" xfId="0" applyFont="1" applyFill="1" applyBorder="1" applyAlignment="1"/>
    <xf numFmtId="0" fontId="32" fillId="17" borderId="100" xfId="0" applyFont="1" applyFill="1" applyBorder="1" applyAlignment="1">
      <alignment vertical="center"/>
    </xf>
    <xf numFmtId="49" fontId="38" fillId="17" borderId="23" xfId="0" applyNumberFormat="1" applyFont="1" applyFill="1" applyBorder="1" applyAlignment="1">
      <alignment vertical="center"/>
    </xf>
    <xf numFmtId="0" fontId="32" fillId="17" borderId="23" xfId="0" applyFont="1" applyFill="1" applyBorder="1" applyAlignment="1">
      <alignment vertical="center"/>
    </xf>
    <xf numFmtId="0" fontId="32" fillId="17" borderId="101" xfId="0" applyFont="1" applyFill="1" applyBorder="1" applyAlignment="1">
      <alignment vertical="center"/>
    </xf>
    <xf numFmtId="0" fontId="32" fillId="18" borderId="100" xfId="0" applyFont="1" applyFill="1" applyBorder="1" applyAlignment="1">
      <alignment vertical="center"/>
    </xf>
    <xf numFmtId="0" fontId="35" fillId="18" borderId="23" xfId="0" applyFont="1" applyFill="1" applyBorder="1" applyAlignment="1">
      <alignment vertical="center"/>
    </xf>
    <xf numFmtId="168" fontId="40" fillId="11" borderId="23" xfId="0" applyNumberFormat="1" applyFont="1" applyFill="1" applyBorder="1" applyAlignment="1">
      <alignment vertical="center"/>
    </xf>
    <xf numFmtId="49" fontId="37" fillId="11" borderId="23" xfId="0" applyNumberFormat="1" applyFont="1" applyFill="1" applyBorder="1" applyAlignment="1">
      <alignment vertical="center"/>
    </xf>
    <xf numFmtId="17" fontId="25" fillId="11" borderId="63" xfId="0" applyNumberFormat="1" applyFont="1" applyFill="1" applyBorder="1" applyAlignment="1">
      <alignment horizontal="right"/>
    </xf>
    <xf numFmtId="9" fontId="12" fillId="0" borderId="23" xfId="0" applyNumberFormat="1" applyFont="1" applyFill="1" applyBorder="1" applyAlignment="1"/>
    <xf numFmtId="49" fontId="25" fillId="0" borderId="63" xfId="0" applyNumberFormat="1" applyFont="1" applyFill="1" applyBorder="1" applyAlignment="1"/>
    <xf numFmtId="0" fontId="25" fillId="0" borderId="63" xfId="0" applyFont="1" applyFill="1" applyBorder="1" applyAlignment="1">
      <alignment horizontal="center"/>
    </xf>
    <xf numFmtId="0" fontId="25" fillId="0" borderId="63" xfId="0" applyFont="1" applyFill="1" applyBorder="1" applyAlignment="1"/>
    <xf numFmtId="3" fontId="25" fillId="0" borderId="63" xfId="0" applyNumberFormat="1" applyFont="1" applyFill="1" applyBorder="1" applyAlignment="1"/>
    <xf numFmtId="0" fontId="19" fillId="0" borderId="23" xfId="0" applyNumberFormat="1" applyFont="1" applyFill="1" applyBorder="1" applyAlignment="1"/>
    <xf numFmtId="49" fontId="41" fillId="20" borderId="102" xfId="0" applyNumberFormat="1" applyFont="1" applyFill="1" applyBorder="1" applyAlignment="1">
      <alignment vertical="center"/>
    </xf>
    <xf numFmtId="165" fontId="41" fillId="20" borderId="103" xfId="1" applyFont="1" applyFill="1" applyBorder="1" applyAlignment="1">
      <alignment vertical="center"/>
    </xf>
    <xf numFmtId="49" fontId="41" fillId="20" borderId="96" xfId="0" applyNumberFormat="1" applyFont="1" applyFill="1" applyBorder="1" applyAlignment="1">
      <alignment vertical="center"/>
    </xf>
    <xf numFmtId="169" fontId="41" fillId="20" borderId="97" xfId="0" applyNumberFormat="1" applyFont="1" applyFill="1" applyBorder="1" applyAlignment="1">
      <alignment vertical="center"/>
    </xf>
    <xf numFmtId="49" fontId="35" fillId="20" borderId="91" xfId="0" applyNumberFormat="1" applyFont="1" applyFill="1" applyBorder="1" applyAlignment="1">
      <alignment vertical="center"/>
    </xf>
    <xf numFmtId="49" fontId="35" fillId="20" borderId="92" xfId="0" applyNumberFormat="1" applyFont="1" applyFill="1" applyBorder="1" applyAlignment="1">
      <alignment vertical="center"/>
    </xf>
    <xf numFmtId="49" fontId="37" fillId="20" borderId="93" xfId="0" applyNumberFormat="1" applyFont="1" applyFill="1" applyBorder="1" applyAlignment="1"/>
    <xf numFmtId="49" fontId="35" fillId="20" borderId="94" xfId="0" applyNumberFormat="1" applyFont="1" applyFill="1" applyBorder="1" applyAlignment="1">
      <alignment vertical="center"/>
    </xf>
    <xf numFmtId="3" fontId="35" fillId="20" borderId="63" xfId="0" applyNumberFormat="1" applyFont="1" applyFill="1" applyBorder="1" applyAlignment="1">
      <alignment vertical="center"/>
    </xf>
    <xf numFmtId="9" fontId="37" fillId="20" borderId="95" xfId="0" applyNumberFormat="1" applyFont="1" applyFill="1" applyBorder="1" applyAlignment="1"/>
    <xf numFmtId="0" fontId="35" fillId="20" borderId="63" xfId="0" applyNumberFormat="1" applyFont="1" applyFill="1" applyBorder="1" applyAlignment="1">
      <alignment vertical="center"/>
    </xf>
    <xf numFmtId="169" fontId="35" fillId="20" borderId="63" xfId="0" applyNumberFormat="1" applyFont="1" applyFill="1" applyBorder="1" applyAlignment="1">
      <alignment vertical="center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27" fillId="12" borderId="63" xfId="0" applyNumberFormat="1" applyFont="1" applyFill="1" applyBorder="1" applyAlignment="1">
      <alignment horizontal="center" vertical="center"/>
    </xf>
    <xf numFmtId="0" fontId="27" fillId="13" borderId="63" xfId="0" applyFont="1" applyFill="1" applyBorder="1" applyAlignment="1">
      <alignment horizontal="center" vertical="center"/>
    </xf>
    <xf numFmtId="49" fontId="38" fillId="17" borderId="88" xfId="0" applyNumberFormat="1" applyFont="1" applyFill="1" applyBorder="1" applyAlignment="1">
      <alignment vertical="center"/>
    </xf>
    <xf numFmtId="0" fontId="35" fillId="17" borderId="89" xfId="0" applyFont="1" applyFill="1" applyBorder="1" applyAlignment="1">
      <alignment vertical="center"/>
    </xf>
    <xf numFmtId="49" fontId="24" fillId="12" borderId="63" xfId="0" applyNumberFormat="1" applyFont="1" applyFill="1" applyBorder="1" applyAlignment="1">
      <alignment wrapText="1"/>
    </xf>
    <xf numFmtId="0" fontId="24" fillId="13" borderId="63" xfId="0" applyFont="1" applyFill="1" applyBorder="1" applyAlignment="1">
      <alignment wrapText="1"/>
    </xf>
    <xf numFmtId="49" fontId="25" fillId="11" borderId="63" xfId="0" applyNumberFormat="1" applyFont="1" applyFill="1" applyBorder="1" applyAlignment="1">
      <alignment wrapText="1"/>
    </xf>
    <xf numFmtId="0" fontId="25" fillId="11" borderId="63" xfId="0" applyFont="1" applyFill="1" applyBorder="1" applyAlignment="1">
      <alignment wrapText="1"/>
    </xf>
    <xf numFmtId="49" fontId="25" fillId="11" borderId="63" xfId="0" applyNumberFormat="1" applyFont="1" applyFill="1" applyBorder="1" applyAlignment="1"/>
    <xf numFmtId="0" fontId="25" fillId="11" borderId="63" xfId="0" applyFont="1" applyFill="1" applyBorder="1" applyAlignment="1"/>
  </cellXfs>
  <cellStyles count="3">
    <cellStyle name="Millares [0]" xfId="1" builtinId="6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304800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629412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4"/>
  <sheetViews>
    <sheetView showGridLines="0" zoomScale="110" zoomScaleNormal="110" workbookViewId="0">
      <selection activeCell="H20" sqref="H20"/>
    </sheetView>
  </sheetViews>
  <sheetFormatPr baseColWidth="10" defaultColWidth="10.7109375" defaultRowHeight="11.25" customHeight="1" x14ac:dyDescent="0.25"/>
  <cols>
    <col min="1" max="1" width="4.42578125" style="1" customWidth="1"/>
    <col min="2" max="2" width="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20.7109375" style="1" customWidth="1"/>
    <col min="9" max="9" width="11.7109375" style="1" bestFit="1" customWidth="1"/>
    <col min="10" max="255" width="10.71093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46" t="s">
        <v>113</v>
      </c>
      <c r="D9" s="7"/>
      <c r="E9" s="307" t="s">
        <v>126</v>
      </c>
      <c r="F9" s="308"/>
      <c r="G9" s="8">
        <f>+D112</f>
        <v>3000</v>
      </c>
    </row>
    <row r="10" spans="1:7" ht="15" x14ac:dyDescent="0.25">
      <c r="A10" s="5"/>
      <c r="B10" s="9" t="s">
        <v>1</v>
      </c>
      <c r="C10" s="10" t="s">
        <v>125</v>
      </c>
      <c r="D10" s="11"/>
      <c r="E10" s="305" t="s">
        <v>2</v>
      </c>
      <c r="F10" s="306"/>
      <c r="G10" s="13" t="s">
        <v>136</v>
      </c>
    </row>
    <row r="11" spans="1:7" ht="18" customHeight="1" x14ac:dyDescent="0.25">
      <c r="A11" s="5"/>
      <c r="B11" s="9" t="s">
        <v>3</v>
      </c>
      <c r="C11" s="13" t="s">
        <v>115</v>
      </c>
      <c r="D11" s="11"/>
      <c r="E11" s="305" t="s">
        <v>114</v>
      </c>
      <c r="F11" s="306"/>
      <c r="G11" s="149">
        <v>5000</v>
      </c>
    </row>
    <row r="12" spans="1:7" ht="15" x14ac:dyDescent="0.25">
      <c r="A12" s="5"/>
      <c r="B12" s="9" t="s">
        <v>4</v>
      </c>
      <c r="C12" s="14" t="s">
        <v>61</v>
      </c>
      <c r="D12" s="11"/>
      <c r="E12" s="15" t="s">
        <v>5</v>
      </c>
      <c r="F12" s="16"/>
      <c r="G12" s="17">
        <f>+G11*G9</f>
        <v>15000000</v>
      </c>
    </row>
    <row r="13" spans="1:7" ht="25.5" x14ac:dyDescent="0.25">
      <c r="A13" s="5"/>
      <c r="B13" s="9" t="s">
        <v>6</v>
      </c>
      <c r="C13" s="13" t="s">
        <v>135</v>
      </c>
      <c r="D13" s="11"/>
      <c r="E13" s="305" t="s">
        <v>7</v>
      </c>
      <c r="F13" s="306"/>
      <c r="G13" s="14" t="s">
        <v>127</v>
      </c>
    </row>
    <row r="14" spans="1:7" ht="15" x14ac:dyDescent="0.25">
      <c r="A14" s="5"/>
      <c r="B14" s="9" t="s">
        <v>8</v>
      </c>
      <c r="C14" s="13" t="s">
        <v>60</v>
      </c>
      <c r="D14" s="11"/>
      <c r="E14" s="305" t="s">
        <v>9</v>
      </c>
      <c r="F14" s="306"/>
      <c r="G14" s="13" t="s">
        <v>62</v>
      </c>
    </row>
    <row r="15" spans="1:7" ht="25.5" customHeight="1" x14ac:dyDescent="0.25">
      <c r="A15" s="5"/>
      <c r="B15" s="9" t="s">
        <v>10</v>
      </c>
      <c r="C15" s="18">
        <v>44593</v>
      </c>
      <c r="D15" s="11"/>
      <c r="E15" s="309" t="s">
        <v>11</v>
      </c>
      <c r="F15" s="310"/>
      <c r="G15" s="14" t="s">
        <v>139</v>
      </c>
    </row>
    <row r="16" spans="1:7" ht="12" customHeight="1" x14ac:dyDescent="0.25">
      <c r="A16" s="2"/>
      <c r="B16" s="19"/>
      <c r="C16" s="20"/>
      <c r="D16" s="21"/>
      <c r="E16" s="22"/>
      <c r="F16" s="22"/>
      <c r="G16" s="23"/>
    </row>
    <row r="17" spans="1:8" ht="12" customHeight="1" x14ac:dyDescent="0.25">
      <c r="A17" s="24"/>
      <c r="B17" s="311" t="s">
        <v>96</v>
      </c>
      <c r="C17" s="312"/>
      <c r="D17" s="312"/>
      <c r="E17" s="312"/>
      <c r="F17" s="312"/>
      <c r="G17" s="312"/>
    </row>
    <row r="18" spans="1:8" ht="12" customHeight="1" x14ac:dyDescent="0.25">
      <c r="A18" s="2"/>
      <c r="B18" s="25"/>
      <c r="C18" s="26"/>
      <c r="D18" s="26"/>
      <c r="E18" s="26"/>
      <c r="F18" s="27"/>
      <c r="G18" s="27"/>
    </row>
    <row r="19" spans="1:8" ht="12" customHeight="1" x14ac:dyDescent="0.25">
      <c r="A19" s="5"/>
      <c r="B19" s="28" t="s">
        <v>12</v>
      </c>
      <c r="C19" s="29"/>
      <c r="D19" s="30"/>
      <c r="E19" s="30"/>
      <c r="F19" s="30"/>
      <c r="G19" s="30"/>
    </row>
    <row r="20" spans="1:8" ht="24" customHeight="1" x14ac:dyDescent="0.25">
      <c r="A20" s="24"/>
      <c r="B20" s="31" t="s">
        <v>13</v>
      </c>
      <c r="C20" s="31" t="s">
        <v>14</v>
      </c>
      <c r="D20" s="31" t="s">
        <v>15</v>
      </c>
      <c r="E20" s="31" t="s">
        <v>16</v>
      </c>
      <c r="F20" s="31" t="s">
        <v>17</v>
      </c>
      <c r="G20" s="31" t="s">
        <v>18</v>
      </c>
    </row>
    <row r="21" spans="1:8" ht="12.75" customHeight="1" x14ac:dyDescent="0.25">
      <c r="A21" s="24"/>
      <c r="B21" s="133" t="s">
        <v>63</v>
      </c>
      <c r="C21" s="32" t="s">
        <v>19</v>
      </c>
      <c r="D21" s="33">
        <f>7000*4*5/20000</f>
        <v>7</v>
      </c>
      <c r="E21" s="133" t="s">
        <v>116</v>
      </c>
      <c r="F21" s="17">
        <v>25000</v>
      </c>
      <c r="G21" s="17">
        <f>+F21*D21</f>
        <v>175000</v>
      </c>
    </row>
    <row r="22" spans="1:8" ht="12.75" customHeight="1" x14ac:dyDescent="0.25">
      <c r="A22" s="24"/>
      <c r="B22" s="133" t="s">
        <v>97</v>
      </c>
      <c r="C22" s="32" t="s">
        <v>19</v>
      </c>
      <c r="D22" s="33">
        <v>2</v>
      </c>
      <c r="E22" s="133" t="s">
        <v>98</v>
      </c>
      <c r="F22" s="17">
        <v>25000</v>
      </c>
      <c r="G22" s="17">
        <f>+F22*D22</f>
        <v>50000</v>
      </c>
    </row>
    <row r="23" spans="1:8" ht="12.75" customHeight="1" x14ac:dyDescent="0.25">
      <c r="A23" s="24"/>
      <c r="B23" s="133" t="s">
        <v>66</v>
      </c>
      <c r="C23" s="32" t="s">
        <v>117</v>
      </c>
      <c r="D23" s="33"/>
      <c r="E23" s="133"/>
      <c r="F23" s="17"/>
      <c r="G23" s="17"/>
    </row>
    <row r="24" spans="1:8" ht="12.75" customHeight="1" x14ac:dyDescent="0.25">
      <c r="A24" s="24"/>
      <c r="B24" s="12" t="s">
        <v>64</v>
      </c>
      <c r="C24" s="32" t="s">
        <v>19</v>
      </c>
      <c r="D24" s="33">
        <v>3</v>
      </c>
      <c r="E24" s="12" t="s">
        <v>99</v>
      </c>
      <c r="F24" s="17">
        <v>25000</v>
      </c>
      <c r="G24" s="17">
        <f t="shared" ref="G24:G27" si="0">+F24*D24</f>
        <v>75000</v>
      </c>
    </row>
    <row r="25" spans="1:8" ht="12.75" customHeight="1" x14ac:dyDescent="0.25">
      <c r="A25" s="24"/>
      <c r="B25" s="133" t="s">
        <v>128</v>
      </c>
      <c r="C25" s="32" t="s">
        <v>19</v>
      </c>
      <c r="D25" s="33">
        <v>5</v>
      </c>
      <c r="E25" s="133" t="s">
        <v>129</v>
      </c>
      <c r="F25" s="17">
        <v>25000</v>
      </c>
      <c r="G25" s="17">
        <f t="shared" si="0"/>
        <v>125000</v>
      </c>
    </row>
    <row r="26" spans="1:8" ht="12.75" customHeight="1" x14ac:dyDescent="0.25">
      <c r="A26" s="24"/>
      <c r="B26" s="133" t="s">
        <v>65</v>
      </c>
      <c r="C26" s="32" t="s">
        <v>19</v>
      </c>
      <c r="D26" s="33">
        <f>500*5*2/100</f>
        <v>50</v>
      </c>
      <c r="E26" s="133" t="s">
        <v>130</v>
      </c>
      <c r="F26" s="17">
        <v>25000</v>
      </c>
      <c r="G26" s="17">
        <f t="shared" si="0"/>
        <v>1250000</v>
      </c>
    </row>
    <row r="27" spans="1:8" ht="12.75" customHeight="1" x14ac:dyDescent="0.25">
      <c r="A27" s="24"/>
      <c r="B27" s="139" t="s">
        <v>82</v>
      </c>
      <c r="C27" s="32" t="s">
        <v>19</v>
      </c>
      <c r="D27" s="33">
        <v>30</v>
      </c>
      <c r="E27" s="133" t="s">
        <v>99</v>
      </c>
      <c r="F27" s="17">
        <v>25000</v>
      </c>
      <c r="G27" s="17">
        <f t="shared" si="0"/>
        <v>750000</v>
      </c>
    </row>
    <row r="28" spans="1:8" ht="12.75" customHeight="1" x14ac:dyDescent="0.25">
      <c r="A28" s="24"/>
      <c r="B28" s="139" t="s">
        <v>83</v>
      </c>
      <c r="C28" s="32" t="s">
        <v>19</v>
      </c>
      <c r="D28" s="33">
        <f>30000*5/20000</f>
        <v>7.5</v>
      </c>
      <c r="E28" s="133" t="s">
        <v>129</v>
      </c>
      <c r="F28" s="17">
        <v>40000</v>
      </c>
      <c r="G28" s="17">
        <f t="shared" ref="G28" si="1">+F28*D28</f>
        <v>300000</v>
      </c>
    </row>
    <row r="29" spans="1:8" ht="12.75" customHeight="1" x14ac:dyDescent="0.25">
      <c r="A29" s="24"/>
      <c r="B29" s="34" t="s">
        <v>20</v>
      </c>
      <c r="C29" s="35"/>
      <c r="D29" s="35"/>
      <c r="E29" s="35"/>
      <c r="F29" s="36"/>
      <c r="G29" s="37">
        <f>SUM(G21:G28)</f>
        <v>2725000</v>
      </c>
      <c r="H29" s="145"/>
    </row>
    <row r="30" spans="1:8" ht="12" customHeight="1" x14ac:dyDescent="0.25">
      <c r="A30" s="2"/>
      <c r="B30" s="25"/>
      <c r="C30" s="27"/>
      <c r="D30" s="27"/>
      <c r="E30" s="27"/>
      <c r="F30" s="38"/>
      <c r="G30" s="38"/>
    </row>
    <row r="31" spans="1:8" ht="12" customHeight="1" x14ac:dyDescent="0.25">
      <c r="A31" s="5"/>
      <c r="B31" s="39" t="s">
        <v>21</v>
      </c>
      <c r="C31" s="40"/>
      <c r="D31" s="41"/>
      <c r="E31" s="41"/>
      <c r="F31" s="42"/>
      <c r="G31" s="42"/>
    </row>
    <row r="32" spans="1:8" ht="24" customHeight="1" x14ac:dyDescent="0.25">
      <c r="A32" s="5"/>
      <c r="B32" s="43" t="s">
        <v>13</v>
      </c>
      <c r="C32" s="44" t="s">
        <v>14</v>
      </c>
      <c r="D32" s="44" t="s">
        <v>15</v>
      </c>
      <c r="E32" s="43" t="s">
        <v>16</v>
      </c>
      <c r="F32" s="44" t="s">
        <v>17</v>
      </c>
      <c r="G32" s="43" t="s">
        <v>18</v>
      </c>
    </row>
    <row r="33" spans="1:11" ht="12" customHeight="1" x14ac:dyDescent="0.25">
      <c r="A33" s="5"/>
      <c r="B33" s="45"/>
      <c r="C33" s="46"/>
      <c r="D33" s="46"/>
      <c r="E33" s="46"/>
      <c r="F33" s="45"/>
      <c r="G33" s="45"/>
    </row>
    <row r="34" spans="1:11" ht="12" customHeight="1" x14ac:dyDescent="0.25">
      <c r="A34" s="5"/>
      <c r="B34" s="47" t="s">
        <v>22</v>
      </c>
      <c r="C34" s="48"/>
      <c r="D34" s="48"/>
      <c r="E34" s="48"/>
      <c r="F34" s="49"/>
      <c r="G34" s="49"/>
    </row>
    <row r="35" spans="1:11" ht="12" customHeight="1" x14ac:dyDescent="0.25">
      <c r="A35" s="2"/>
      <c r="B35" s="50"/>
      <c r="C35" s="51"/>
      <c r="D35" s="51"/>
      <c r="E35" s="51"/>
      <c r="F35" s="52"/>
      <c r="G35" s="52"/>
    </row>
    <row r="36" spans="1:11" ht="12" customHeight="1" x14ac:dyDescent="0.25">
      <c r="A36" s="5"/>
      <c r="B36" s="39" t="s">
        <v>23</v>
      </c>
      <c r="C36" s="40"/>
      <c r="D36" s="41"/>
      <c r="E36" s="41"/>
      <c r="F36" s="42"/>
      <c r="G36" s="42"/>
    </row>
    <row r="37" spans="1:11" ht="24" customHeight="1" x14ac:dyDescent="0.25">
      <c r="A37" s="5"/>
      <c r="B37" s="53" t="s">
        <v>13</v>
      </c>
      <c r="C37" s="53" t="s">
        <v>14</v>
      </c>
      <c r="D37" s="53" t="s">
        <v>15</v>
      </c>
      <c r="E37" s="53" t="s">
        <v>16</v>
      </c>
      <c r="F37" s="54" t="s">
        <v>17</v>
      </c>
      <c r="G37" s="53" t="s">
        <v>18</v>
      </c>
    </row>
    <row r="38" spans="1:11" ht="12.75" customHeight="1" x14ac:dyDescent="0.25">
      <c r="A38" s="24"/>
      <c r="B38" s="12" t="s">
        <v>67</v>
      </c>
      <c r="C38" s="32" t="s">
        <v>140</v>
      </c>
      <c r="D38" s="33">
        <v>1</v>
      </c>
      <c r="E38" s="14" t="s">
        <v>118</v>
      </c>
      <c r="F38" s="17">
        <v>176000</v>
      </c>
      <c r="G38" s="17">
        <f>+F38*D38</f>
        <v>176000</v>
      </c>
    </row>
    <row r="39" spans="1:11" ht="12.75" customHeight="1" x14ac:dyDescent="0.25">
      <c r="A39" s="24"/>
      <c r="B39" s="12"/>
      <c r="C39" s="32"/>
      <c r="D39" s="33"/>
      <c r="E39" s="14"/>
      <c r="F39" s="17"/>
      <c r="G39" s="17"/>
    </row>
    <row r="40" spans="1:11" ht="12.75" customHeight="1" x14ac:dyDescent="0.25">
      <c r="A40" s="5"/>
      <c r="B40" s="55" t="s">
        <v>24</v>
      </c>
      <c r="C40" s="56"/>
      <c r="D40" s="56"/>
      <c r="E40" s="56"/>
      <c r="F40" s="57"/>
      <c r="G40" s="58">
        <f>SUM(G38:G39)</f>
        <v>176000</v>
      </c>
    </row>
    <row r="41" spans="1:11" ht="12" customHeight="1" x14ac:dyDescent="0.25">
      <c r="A41" s="2"/>
      <c r="B41" s="50"/>
      <c r="C41" s="51"/>
      <c r="D41" s="51"/>
      <c r="E41" s="51"/>
      <c r="F41" s="52"/>
      <c r="G41" s="52"/>
    </row>
    <row r="42" spans="1:11" ht="12" customHeight="1" x14ac:dyDescent="0.25">
      <c r="A42" s="5"/>
      <c r="B42" s="39" t="s">
        <v>25</v>
      </c>
      <c r="C42" s="40"/>
      <c r="D42" s="41"/>
      <c r="E42" s="41"/>
      <c r="F42" s="42"/>
      <c r="G42" s="42"/>
    </row>
    <row r="43" spans="1:11" ht="24" customHeight="1" x14ac:dyDescent="0.25">
      <c r="A43" s="5"/>
      <c r="B43" s="54" t="s">
        <v>26</v>
      </c>
      <c r="C43" s="54" t="s">
        <v>27</v>
      </c>
      <c r="D43" s="54" t="s">
        <v>28</v>
      </c>
      <c r="E43" s="54" t="s">
        <v>16</v>
      </c>
      <c r="F43" s="54" t="s">
        <v>17</v>
      </c>
      <c r="G43" s="54" t="s">
        <v>18</v>
      </c>
      <c r="K43" s="132"/>
    </row>
    <row r="44" spans="1:11" ht="12.75" customHeight="1" x14ac:dyDescent="0.25">
      <c r="A44" s="24"/>
      <c r="B44" s="134" t="s">
        <v>138</v>
      </c>
      <c r="C44" s="63" t="s">
        <v>69</v>
      </c>
      <c r="D44" s="135">
        <f>1000*4*5</f>
        <v>20000</v>
      </c>
      <c r="E44" s="63" t="s">
        <v>100</v>
      </c>
      <c r="F44" s="61">
        <f>90*1.19</f>
        <v>107.1</v>
      </c>
      <c r="G44" s="61">
        <f>+F44*D44</f>
        <v>2142000</v>
      </c>
    </row>
    <row r="45" spans="1:11" ht="12.75" customHeight="1" x14ac:dyDescent="0.25">
      <c r="A45" s="24"/>
      <c r="B45" s="62" t="s">
        <v>29</v>
      </c>
      <c r="C45" s="63"/>
      <c r="D45" s="16"/>
      <c r="E45" s="63"/>
      <c r="F45" s="61"/>
      <c r="G45" s="61"/>
    </row>
    <row r="46" spans="1:11" ht="12.75" customHeight="1" x14ac:dyDescent="0.25">
      <c r="A46" s="24"/>
      <c r="B46" s="134" t="s">
        <v>70</v>
      </c>
      <c r="C46" s="63" t="s">
        <v>30</v>
      </c>
      <c r="D46" s="135">
        <v>50</v>
      </c>
      <c r="E46" s="63" t="s">
        <v>68</v>
      </c>
      <c r="F46" s="61">
        <v>1880</v>
      </c>
      <c r="G46" s="61">
        <f>+F46*D46</f>
        <v>94000</v>
      </c>
    </row>
    <row r="47" spans="1:11" ht="12.75" customHeight="1" x14ac:dyDescent="0.25">
      <c r="A47" s="24"/>
      <c r="B47" s="134" t="s">
        <v>71</v>
      </c>
      <c r="C47" s="63" t="s">
        <v>30</v>
      </c>
      <c r="D47" s="135">
        <v>25</v>
      </c>
      <c r="E47" s="63" t="s">
        <v>68</v>
      </c>
      <c r="F47" s="61">
        <v>1000</v>
      </c>
      <c r="G47" s="61">
        <f>+F47*D47</f>
        <v>25000</v>
      </c>
    </row>
    <row r="48" spans="1:11" ht="12.75" customHeight="1" x14ac:dyDescent="0.25">
      <c r="A48" s="24"/>
      <c r="B48" s="134" t="s">
        <v>72</v>
      </c>
      <c r="C48" s="59" t="s">
        <v>30</v>
      </c>
      <c r="D48" s="60">
        <v>25</v>
      </c>
      <c r="E48" s="59" t="s">
        <v>68</v>
      </c>
      <c r="F48" s="61">
        <v>720</v>
      </c>
      <c r="G48" s="61">
        <f>(D48*F48)</f>
        <v>18000</v>
      </c>
    </row>
    <row r="49" spans="1:7" ht="12.75" customHeight="1" x14ac:dyDescent="0.25">
      <c r="A49" s="24"/>
      <c r="B49" s="134" t="s">
        <v>73</v>
      </c>
      <c r="C49" s="59" t="s">
        <v>31</v>
      </c>
      <c r="D49" s="60">
        <v>25</v>
      </c>
      <c r="E49" s="59" t="s">
        <v>68</v>
      </c>
      <c r="F49" s="61">
        <v>1800</v>
      </c>
      <c r="G49" s="61">
        <f>(D49*F49)</f>
        <v>45000</v>
      </c>
    </row>
    <row r="50" spans="1:7" ht="12.75" customHeight="1" x14ac:dyDescent="0.25">
      <c r="A50" s="24"/>
      <c r="B50" s="134" t="s">
        <v>74</v>
      </c>
      <c r="C50" s="59" t="s">
        <v>30</v>
      </c>
      <c r="D50" s="60">
        <v>50</v>
      </c>
      <c r="E50" s="59" t="s">
        <v>68</v>
      </c>
      <c r="F50" s="61">
        <v>885</v>
      </c>
      <c r="G50" s="61">
        <f>+F50*D50</f>
        <v>44250</v>
      </c>
    </row>
    <row r="51" spans="1:7" ht="12.75" customHeight="1" x14ac:dyDescent="0.25">
      <c r="A51" s="24"/>
      <c r="B51" s="134" t="s">
        <v>109</v>
      </c>
      <c r="C51" s="59" t="s">
        <v>110</v>
      </c>
      <c r="D51" s="60">
        <v>1</v>
      </c>
      <c r="E51" s="59" t="s">
        <v>68</v>
      </c>
      <c r="F51" s="61">
        <f>34000*1.19</f>
        <v>40460</v>
      </c>
      <c r="G51" s="61">
        <f>+F51*D51</f>
        <v>40460</v>
      </c>
    </row>
    <row r="52" spans="1:7" ht="12.75" customHeight="1" x14ac:dyDescent="0.25">
      <c r="A52" s="24"/>
      <c r="B52" s="134"/>
      <c r="C52" s="59"/>
      <c r="D52" s="60"/>
      <c r="E52" s="59"/>
      <c r="F52" s="61"/>
      <c r="G52" s="61"/>
    </row>
    <row r="53" spans="1:7" ht="12.75" customHeight="1" x14ac:dyDescent="0.25">
      <c r="A53" s="24"/>
      <c r="B53" s="62" t="s">
        <v>32</v>
      </c>
      <c r="C53" s="63"/>
      <c r="D53" s="16"/>
      <c r="E53" s="63"/>
      <c r="F53" s="61"/>
      <c r="G53" s="61"/>
    </row>
    <row r="54" spans="1:7" ht="12.75" customHeight="1" x14ac:dyDescent="0.25">
      <c r="A54" s="24"/>
      <c r="B54" s="15" t="s">
        <v>75</v>
      </c>
      <c r="C54" s="59" t="s">
        <v>76</v>
      </c>
      <c r="D54" s="60">
        <v>1</v>
      </c>
      <c r="E54" s="59" t="s">
        <v>68</v>
      </c>
      <c r="F54" s="61">
        <v>18500</v>
      </c>
      <c r="G54" s="61">
        <f>+F54*D54</f>
        <v>18500</v>
      </c>
    </row>
    <row r="55" spans="1:7" ht="12.75" customHeight="1" x14ac:dyDescent="0.25">
      <c r="A55" s="24"/>
      <c r="B55" s="15" t="s">
        <v>77</v>
      </c>
      <c r="C55" s="59" t="s">
        <v>78</v>
      </c>
      <c r="D55" s="60">
        <v>2</v>
      </c>
      <c r="E55" s="59" t="s">
        <v>68</v>
      </c>
      <c r="F55" s="61">
        <v>17350</v>
      </c>
      <c r="G55" s="61">
        <f>+F55*D55</f>
        <v>34700</v>
      </c>
    </row>
    <row r="56" spans="1:7" ht="12.75" customHeight="1" x14ac:dyDescent="0.25">
      <c r="A56" s="24"/>
      <c r="B56" s="62" t="s">
        <v>91</v>
      </c>
      <c r="C56" s="63"/>
      <c r="D56" s="16"/>
      <c r="E56" s="63"/>
      <c r="F56" s="61"/>
      <c r="G56" s="61"/>
    </row>
    <row r="57" spans="1:7" ht="12.75" customHeight="1" x14ac:dyDescent="0.25">
      <c r="A57" s="24"/>
      <c r="B57" s="134" t="s">
        <v>87</v>
      </c>
      <c r="C57" s="59" t="s">
        <v>88</v>
      </c>
      <c r="D57" s="60">
        <v>0.5</v>
      </c>
      <c r="E57" s="59" t="s">
        <v>68</v>
      </c>
      <c r="F57" s="61">
        <v>113061</v>
      </c>
      <c r="G57" s="144">
        <f t="shared" ref="G57:G62" si="2">+F57*D57</f>
        <v>56530.5</v>
      </c>
    </row>
    <row r="58" spans="1:7" ht="12.75" customHeight="1" x14ac:dyDescent="0.25">
      <c r="A58" s="24"/>
      <c r="B58" s="134" t="s">
        <v>79</v>
      </c>
      <c r="C58" s="59" t="s">
        <v>88</v>
      </c>
      <c r="D58" s="60">
        <v>1</v>
      </c>
      <c r="E58" s="59" t="s">
        <v>68</v>
      </c>
      <c r="F58" s="61">
        <v>31178</v>
      </c>
      <c r="G58" s="144">
        <f t="shared" si="2"/>
        <v>31178</v>
      </c>
    </row>
    <row r="59" spans="1:7" ht="12.75" customHeight="1" x14ac:dyDescent="0.25">
      <c r="A59" s="24"/>
      <c r="B59" s="134" t="s">
        <v>89</v>
      </c>
      <c r="C59" s="59" t="s">
        <v>90</v>
      </c>
      <c r="D59" s="60">
        <v>1</v>
      </c>
      <c r="E59" s="59" t="s">
        <v>68</v>
      </c>
      <c r="F59" s="61">
        <v>24050</v>
      </c>
      <c r="G59" s="144">
        <f t="shared" si="2"/>
        <v>24050</v>
      </c>
    </row>
    <row r="60" spans="1:7" ht="12.75" customHeight="1" x14ac:dyDescent="0.25">
      <c r="A60" s="24"/>
      <c r="B60" s="134" t="s">
        <v>119</v>
      </c>
      <c r="C60" s="59" t="s">
        <v>120</v>
      </c>
      <c r="D60" s="60">
        <v>1</v>
      </c>
      <c r="E60" s="59" t="s">
        <v>121</v>
      </c>
      <c r="F60" s="148">
        <v>239500</v>
      </c>
      <c r="G60" s="144">
        <f t="shared" si="2"/>
        <v>239500</v>
      </c>
    </row>
    <row r="61" spans="1:7" ht="12.75" customHeight="1" x14ac:dyDescent="0.25">
      <c r="A61" s="24"/>
      <c r="B61" s="134" t="s">
        <v>104</v>
      </c>
      <c r="C61" s="59" t="s">
        <v>88</v>
      </c>
      <c r="D61" s="60">
        <v>0.5</v>
      </c>
      <c r="E61" s="59" t="s">
        <v>68</v>
      </c>
      <c r="F61" s="61">
        <v>56474</v>
      </c>
      <c r="G61" s="144">
        <f t="shared" si="2"/>
        <v>28237</v>
      </c>
    </row>
    <row r="62" spans="1:7" ht="12.75" customHeight="1" x14ac:dyDescent="0.25">
      <c r="A62" s="24"/>
      <c r="B62" s="134" t="s">
        <v>108</v>
      </c>
      <c r="C62" s="59" t="s">
        <v>88</v>
      </c>
      <c r="D62" s="60">
        <v>1</v>
      </c>
      <c r="E62" s="59" t="s">
        <v>68</v>
      </c>
      <c r="F62" s="61">
        <v>21600</v>
      </c>
      <c r="G62" s="144">
        <f t="shared" si="2"/>
        <v>21600</v>
      </c>
    </row>
    <row r="63" spans="1:7" ht="12.75" customHeight="1" x14ac:dyDescent="0.25">
      <c r="A63" s="24"/>
      <c r="B63" s="134" t="s">
        <v>122</v>
      </c>
      <c r="C63" s="59" t="s">
        <v>120</v>
      </c>
      <c r="D63" s="60">
        <v>1</v>
      </c>
      <c r="E63" s="59" t="s">
        <v>121</v>
      </c>
      <c r="F63" s="61">
        <f>35000*1.3</f>
        <v>45500</v>
      </c>
      <c r="G63" s="144">
        <f>+F63+D63</f>
        <v>45501</v>
      </c>
    </row>
    <row r="64" spans="1:7" ht="12.75" customHeight="1" x14ac:dyDescent="0.25">
      <c r="A64" s="24"/>
      <c r="B64" s="136" t="s">
        <v>133</v>
      </c>
      <c r="C64" s="59" t="s">
        <v>134</v>
      </c>
      <c r="D64" s="60">
        <f>120*30*4*5/1000/20</f>
        <v>3.6</v>
      </c>
      <c r="E64" s="59" t="s">
        <v>118</v>
      </c>
      <c r="F64" s="148">
        <f>2650*1.19*20*1.3</f>
        <v>81991</v>
      </c>
      <c r="G64" s="144">
        <f>+F64*D64</f>
        <v>295167.60000000003</v>
      </c>
    </row>
    <row r="65" spans="1:7" ht="12.75" customHeight="1" x14ac:dyDescent="0.25">
      <c r="A65" s="24"/>
      <c r="B65" s="62" t="s">
        <v>34</v>
      </c>
      <c r="C65" s="59"/>
      <c r="D65" s="60"/>
      <c r="E65" s="59"/>
      <c r="F65" s="61"/>
      <c r="G65" s="60"/>
    </row>
    <row r="66" spans="1:7" ht="12.75" customHeight="1" x14ac:dyDescent="0.25">
      <c r="A66" s="24"/>
      <c r="B66" s="136" t="s">
        <v>131</v>
      </c>
      <c r="C66" s="59" t="s">
        <v>132</v>
      </c>
      <c r="D66" s="60">
        <v>5</v>
      </c>
      <c r="E66" s="59" t="s">
        <v>118</v>
      </c>
      <c r="F66" s="148">
        <v>25000</v>
      </c>
      <c r="G66" s="144">
        <f>+F66*D66</f>
        <v>125000</v>
      </c>
    </row>
    <row r="67" spans="1:7" ht="12.75" customHeight="1" x14ac:dyDescent="0.25">
      <c r="A67" s="24"/>
      <c r="B67" s="134" t="s">
        <v>107</v>
      </c>
      <c r="C67" s="59" t="s">
        <v>88</v>
      </c>
      <c r="D67" s="60">
        <v>1</v>
      </c>
      <c r="E67" s="59" t="s">
        <v>68</v>
      </c>
      <c r="F67" s="61">
        <v>35447</v>
      </c>
      <c r="G67" s="144">
        <f t="shared" ref="G67:G75" si="3">+F67*D67</f>
        <v>35447</v>
      </c>
    </row>
    <row r="68" spans="1:7" ht="12.75" customHeight="1" x14ac:dyDescent="0.25">
      <c r="A68" s="24"/>
      <c r="B68" s="134" t="s">
        <v>106</v>
      </c>
      <c r="C68" s="59" t="s">
        <v>88</v>
      </c>
      <c r="D68" s="60">
        <v>2</v>
      </c>
      <c r="E68" s="59" t="s">
        <v>68</v>
      </c>
      <c r="F68" s="61">
        <v>21000</v>
      </c>
      <c r="G68" s="61">
        <f t="shared" si="3"/>
        <v>42000</v>
      </c>
    </row>
    <row r="69" spans="1:7" ht="12.75" customHeight="1" x14ac:dyDescent="0.25">
      <c r="A69" s="24"/>
      <c r="B69" s="134" t="s">
        <v>105</v>
      </c>
      <c r="C69" s="59" t="s">
        <v>78</v>
      </c>
      <c r="D69" s="60">
        <v>2</v>
      </c>
      <c r="E69" s="59" t="s">
        <v>68</v>
      </c>
      <c r="F69" s="61">
        <v>21840</v>
      </c>
      <c r="G69" s="61">
        <f t="shared" si="3"/>
        <v>43680</v>
      </c>
    </row>
    <row r="70" spans="1:7" ht="12.75" customHeight="1" x14ac:dyDescent="0.25">
      <c r="A70" s="24"/>
      <c r="B70" s="134" t="s">
        <v>80</v>
      </c>
      <c r="C70" s="59" t="s">
        <v>93</v>
      </c>
      <c r="D70" s="60">
        <v>1</v>
      </c>
      <c r="E70" s="59" t="s">
        <v>68</v>
      </c>
      <c r="F70" s="61">
        <v>47000</v>
      </c>
      <c r="G70" s="61">
        <f t="shared" si="3"/>
        <v>47000</v>
      </c>
    </row>
    <row r="71" spans="1:7" ht="12.75" customHeight="1" x14ac:dyDescent="0.25">
      <c r="A71" s="24"/>
      <c r="B71" s="134" t="s">
        <v>112</v>
      </c>
      <c r="C71" s="59" t="s">
        <v>111</v>
      </c>
      <c r="D71" s="60">
        <v>1.5</v>
      </c>
      <c r="E71" s="59" t="s">
        <v>85</v>
      </c>
      <c r="F71" s="61">
        <v>300000</v>
      </c>
      <c r="G71" s="61">
        <f t="shared" si="3"/>
        <v>450000</v>
      </c>
    </row>
    <row r="72" spans="1:7" ht="12.75" customHeight="1" x14ac:dyDescent="0.25">
      <c r="A72" s="24"/>
      <c r="B72" s="134" t="s">
        <v>84</v>
      </c>
      <c r="C72" s="59" t="s">
        <v>86</v>
      </c>
      <c r="D72" s="60">
        <v>0.5</v>
      </c>
      <c r="E72" s="59" t="s">
        <v>85</v>
      </c>
      <c r="F72" s="61">
        <v>32000</v>
      </c>
      <c r="G72" s="61">
        <f t="shared" si="3"/>
        <v>16000</v>
      </c>
    </row>
    <row r="73" spans="1:7" ht="12.75" customHeight="1" x14ac:dyDescent="0.25">
      <c r="A73" s="24"/>
      <c r="B73" s="140" t="s">
        <v>94</v>
      </c>
      <c r="C73" s="141" t="s">
        <v>95</v>
      </c>
      <c r="D73" s="142">
        <f>32*4*4*5</f>
        <v>2560</v>
      </c>
      <c r="E73" s="141" t="s">
        <v>85</v>
      </c>
      <c r="F73" s="137">
        <v>71</v>
      </c>
      <c r="G73" s="137">
        <f t="shared" si="3"/>
        <v>181760</v>
      </c>
    </row>
    <row r="74" spans="1:7" ht="12.75" customHeight="1" x14ac:dyDescent="0.25">
      <c r="A74" s="24"/>
      <c r="B74" s="140" t="s">
        <v>102</v>
      </c>
      <c r="C74" s="141" t="s">
        <v>103</v>
      </c>
      <c r="D74" s="142">
        <v>1</v>
      </c>
      <c r="E74" s="141" t="s">
        <v>68</v>
      </c>
      <c r="F74" s="137">
        <v>88364</v>
      </c>
      <c r="G74" s="137">
        <f t="shared" si="3"/>
        <v>88364</v>
      </c>
    </row>
    <row r="75" spans="1:7" ht="12.75" customHeight="1" x14ac:dyDescent="0.25">
      <c r="A75" s="24"/>
      <c r="B75" s="64" t="s">
        <v>101</v>
      </c>
      <c r="C75" s="65" t="s">
        <v>92</v>
      </c>
      <c r="D75" s="66">
        <v>12</v>
      </c>
      <c r="E75" s="65" t="s">
        <v>68</v>
      </c>
      <c r="F75" s="67">
        <f>150000/40*5</f>
        <v>18750</v>
      </c>
      <c r="G75" s="67">
        <f t="shared" si="3"/>
        <v>225000</v>
      </c>
    </row>
    <row r="76" spans="1:7" ht="13.5" customHeight="1" x14ac:dyDescent="0.25">
      <c r="A76" s="5"/>
      <c r="B76" s="68" t="s">
        <v>33</v>
      </c>
      <c r="C76" s="69"/>
      <c r="D76" s="69"/>
      <c r="E76" s="69"/>
      <c r="F76" s="70"/>
      <c r="G76" s="71">
        <f>SUM(G44:G75)</f>
        <v>4457925.0999999996</v>
      </c>
    </row>
    <row r="77" spans="1:7" ht="12" customHeight="1" x14ac:dyDescent="0.25">
      <c r="A77" s="2"/>
      <c r="B77" s="50"/>
      <c r="C77" s="51"/>
      <c r="D77" s="51"/>
      <c r="E77" s="72"/>
      <c r="F77" s="52"/>
      <c r="G77" s="52"/>
    </row>
    <row r="78" spans="1:7" ht="12" customHeight="1" x14ac:dyDescent="0.25">
      <c r="A78" s="138" t="s">
        <v>81</v>
      </c>
      <c r="B78" s="50"/>
      <c r="C78" s="51"/>
      <c r="D78" s="51"/>
      <c r="E78" s="72"/>
      <c r="F78" s="52"/>
      <c r="G78" s="52"/>
    </row>
    <row r="79" spans="1:7" ht="12" customHeight="1" x14ac:dyDescent="0.25">
      <c r="A79" s="5"/>
      <c r="B79" s="39" t="s">
        <v>34</v>
      </c>
      <c r="C79" s="40"/>
      <c r="D79" s="41"/>
      <c r="E79" s="41"/>
      <c r="F79" s="42"/>
      <c r="G79" s="42"/>
    </row>
    <row r="80" spans="1:7" ht="24" customHeight="1" x14ac:dyDescent="0.25">
      <c r="A80" s="5"/>
      <c r="B80" s="53" t="s">
        <v>35</v>
      </c>
      <c r="C80" s="54" t="s">
        <v>27</v>
      </c>
      <c r="D80" s="54" t="s">
        <v>28</v>
      </c>
      <c r="E80" s="53" t="s">
        <v>16</v>
      </c>
      <c r="F80" s="54" t="s">
        <v>17</v>
      </c>
      <c r="G80" s="53" t="s">
        <v>18</v>
      </c>
    </row>
    <row r="81" spans="1:9" ht="12.75" customHeight="1" x14ac:dyDescent="0.25">
      <c r="A81" s="24"/>
      <c r="B81" s="133"/>
      <c r="C81" s="59"/>
      <c r="D81" s="61"/>
      <c r="E81" s="32"/>
      <c r="F81" s="73"/>
      <c r="G81" s="61"/>
    </row>
    <row r="82" spans="1:9" ht="12.75" customHeight="1" x14ac:dyDescent="0.25">
      <c r="A82" s="24"/>
      <c r="B82" s="12"/>
      <c r="C82" s="59"/>
      <c r="D82" s="61"/>
      <c r="E82" s="32"/>
      <c r="F82" s="73"/>
      <c r="G82" s="61"/>
    </row>
    <row r="83" spans="1:9" ht="13.5" customHeight="1" x14ac:dyDescent="0.25">
      <c r="A83" s="5"/>
      <c r="B83" s="74" t="s">
        <v>36</v>
      </c>
      <c r="C83" s="75"/>
      <c r="D83" s="75"/>
      <c r="E83" s="75"/>
      <c r="F83" s="76"/>
      <c r="G83" s="77">
        <f>SUM(G82)</f>
        <v>0</v>
      </c>
    </row>
    <row r="84" spans="1:9" ht="12" customHeight="1" x14ac:dyDescent="0.25">
      <c r="A84" s="2"/>
      <c r="B84" s="94"/>
      <c r="C84" s="94"/>
      <c r="D84" s="94"/>
      <c r="E84" s="94"/>
      <c r="F84" s="95"/>
      <c r="G84" s="95"/>
    </row>
    <row r="85" spans="1:9" ht="12" customHeight="1" x14ac:dyDescent="0.25">
      <c r="A85" s="91"/>
      <c r="B85" s="96" t="s">
        <v>37</v>
      </c>
      <c r="C85" s="97"/>
      <c r="D85" s="97"/>
      <c r="E85" s="97"/>
      <c r="F85" s="97"/>
      <c r="G85" s="98">
        <f>G29+G40+G76+G83</f>
        <v>7358925.0999999996</v>
      </c>
    </row>
    <row r="86" spans="1:9" ht="12" customHeight="1" x14ac:dyDescent="0.25">
      <c r="A86" s="91"/>
      <c r="B86" s="99" t="s">
        <v>38</v>
      </c>
      <c r="C86" s="79"/>
      <c r="D86" s="79"/>
      <c r="E86" s="79"/>
      <c r="F86" s="79"/>
      <c r="G86" s="100">
        <f>G85*0.05</f>
        <v>367946.255</v>
      </c>
    </row>
    <row r="87" spans="1:9" ht="12" customHeight="1" x14ac:dyDescent="0.25">
      <c r="A87" s="91"/>
      <c r="B87" s="101" t="s">
        <v>39</v>
      </c>
      <c r="C87" s="78"/>
      <c r="D87" s="78"/>
      <c r="E87" s="78"/>
      <c r="F87" s="78"/>
      <c r="G87" s="102">
        <f>G86+G85</f>
        <v>7726871.3549999995</v>
      </c>
    </row>
    <row r="88" spans="1:9" ht="12" customHeight="1" x14ac:dyDescent="0.25">
      <c r="A88" s="91"/>
      <c r="B88" s="99" t="s">
        <v>40</v>
      </c>
      <c r="C88" s="79"/>
      <c r="D88" s="79"/>
      <c r="E88" s="79"/>
      <c r="F88" s="79"/>
      <c r="G88" s="100">
        <f>G12</f>
        <v>15000000</v>
      </c>
    </row>
    <row r="89" spans="1:9" ht="12" customHeight="1" x14ac:dyDescent="0.25">
      <c r="A89" s="91"/>
      <c r="B89" s="103" t="s">
        <v>41</v>
      </c>
      <c r="C89" s="104"/>
      <c r="D89" s="104"/>
      <c r="E89" s="104"/>
      <c r="F89" s="104"/>
      <c r="G89" s="105">
        <f>G88-G87</f>
        <v>7273128.6450000005</v>
      </c>
      <c r="I89" s="147"/>
    </row>
    <row r="90" spans="1:9" ht="12" customHeight="1" x14ac:dyDescent="0.25">
      <c r="A90" s="91"/>
      <c r="B90" s="92" t="s">
        <v>42</v>
      </c>
      <c r="C90" s="93"/>
      <c r="D90" s="93"/>
      <c r="E90" s="93"/>
      <c r="F90" s="93"/>
      <c r="G90" s="88">
        <f ca="1">+G89:G90/12</f>
        <v>0</v>
      </c>
    </row>
    <row r="91" spans="1:9" ht="12.75" customHeight="1" thickBot="1" x14ac:dyDescent="0.3">
      <c r="A91" s="91"/>
      <c r="B91" s="106"/>
      <c r="C91" s="93"/>
      <c r="D91" s="93"/>
      <c r="E91" s="93"/>
      <c r="F91" s="93"/>
      <c r="G91" s="88"/>
    </row>
    <row r="92" spans="1:9" ht="12" customHeight="1" x14ac:dyDescent="0.25">
      <c r="A92" s="91"/>
      <c r="B92" s="118" t="s">
        <v>43</v>
      </c>
      <c r="C92" s="119"/>
      <c r="D92" s="119"/>
      <c r="E92" s="119"/>
      <c r="F92" s="120"/>
      <c r="G92" s="88"/>
    </row>
    <row r="93" spans="1:9" ht="12" customHeight="1" x14ac:dyDescent="0.25">
      <c r="A93" s="91"/>
      <c r="B93" s="121" t="s">
        <v>44</v>
      </c>
      <c r="C93" s="90"/>
      <c r="D93" s="90"/>
      <c r="E93" s="90"/>
      <c r="F93" s="122"/>
      <c r="G93" s="88"/>
    </row>
    <row r="94" spans="1:9" ht="12" customHeight="1" x14ac:dyDescent="0.25">
      <c r="A94" s="91"/>
      <c r="B94" s="121" t="s">
        <v>45</v>
      </c>
      <c r="C94" s="90"/>
      <c r="D94" s="90"/>
      <c r="E94" s="90"/>
      <c r="F94" s="122"/>
      <c r="G94" s="88"/>
    </row>
    <row r="95" spans="1:9" ht="12" customHeight="1" x14ac:dyDescent="0.25">
      <c r="A95" s="91"/>
      <c r="B95" s="121" t="s">
        <v>46</v>
      </c>
      <c r="C95" s="90"/>
      <c r="D95" s="90"/>
      <c r="E95" s="90"/>
      <c r="F95" s="122"/>
      <c r="G95" s="88"/>
    </row>
    <row r="96" spans="1:9" ht="12" customHeight="1" x14ac:dyDescent="0.25">
      <c r="A96" s="91"/>
      <c r="B96" s="121" t="s">
        <v>47</v>
      </c>
      <c r="C96" s="90"/>
      <c r="D96" s="90"/>
      <c r="E96" s="90"/>
      <c r="F96" s="122"/>
      <c r="G96" s="88"/>
    </row>
    <row r="97" spans="1:7" ht="12" customHeight="1" x14ac:dyDescent="0.25">
      <c r="A97" s="91"/>
      <c r="B97" s="121" t="s">
        <v>48</v>
      </c>
      <c r="C97" s="90"/>
      <c r="D97" s="90"/>
      <c r="E97" s="90"/>
      <c r="F97" s="122"/>
      <c r="G97" s="88"/>
    </row>
    <row r="98" spans="1:7" ht="12.75" customHeight="1" thickBot="1" x14ac:dyDescent="0.3">
      <c r="A98" s="91"/>
      <c r="B98" s="123" t="s">
        <v>49</v>
      </c>
      <c r="C98" s="124"/>
      <c r="D98" s="124"/>
      <c r="E98" s="124"/>
      <c r="F98" s="125"/>
      <c r="G98" s="88"/>
    </row>
    <row r="99" spans="1:7" ht="12.75" customHeight="1" x14ac:dyDescent="0.25">
      <c r="A99" s="91"/>
      <c r="B99" s="116"/>
      <c r="C99" s="90"/>
      <c r="D99" s="90"/>
      <c r="E99" s="90"/>
      <c r="F99" s="90"/>
      <c r="G99" s="88"/>
    </row>
    <row r="100" spans="1:7" ht="15" customHeight="1" thickBot="1" x14ac:dyDescent="0.3">
      <c r="A100" s="91"/>
      <c r="B100" s="303" t="s">
        <v>50</v>
      </c>
      <c r="C100" s="304"/>
      <c r="D100" s="115"/>
      <c r="E100" s="81"/>
      <c r="F100" s="81"/>
      <c r="G100" s="88"/>
    </row>
    <row r="101" spans="1:7" ht="12" customHeight="1" x14ac:dyDescent="0.25">
      <c r="A101" s="91"/>
      <c r="B101" s="108" t="s">
        <v>35</v>
      </c>
      <c r="C101" s="82" t="s">
        <v>51</v>
      </c>
      <c r="D101" s="109" t="s">
        <v>52</v>
      </c>
      <c r="E101" s="81"/>
      <c r="F101" s="81"/>
      <c r="G101" s="88"/>
    </row>
    <row r="102" spans="1:7" ht="12" customHeight="1" x14ac:dyDescent="0.25">
      <c r="A102" s="91"/>
      <c r="B102" s="110" t="s">
        <v>53</v>
      </c>
      <c r="C102" s="83">
        <f>+G29</f>
        <v>2725000</v>
      </c>
      <c r="D102" s="111">
        <f>(C102/C108)</f>
        <v>0.35266537707227041</v>
      </c>
      <c r="E102" s="81"/>
      <c r="F102" s="81"/>
      <c r="G102" s="88"/>
    </row>
    <row r="103" spans="1:7" ht="12" customHeight="1" x14ac:dyDescent="0.25">
      <c r="A103" s="91"/>
      <c r="B103" s="110" t="s">
        <v>54</v>
      </c>
      <c r="C103" s="84">
        <f>+G34</f>
        <v>0</v>
      </c>
      <c r="D103" s="111">
        <v>0</v>
      </c>
      <c r="E103" s="81"/>
      <c r="F103" s="81"/>
      <c r="G103" s="88"/>
    </row>
    <row r="104" spans="1:7" ht="12" customHeight="1" x14ac:dyDescent="0.25">
      <c r="A104" s="91"/>
      <c r="B104" s="110" t="s">
        <v>55</v>
      </c>
      <c r="C104" s="83">
        <f>+G40</f>
        <v>176000</v>
      </c>
      <c r="D104" s="111">
        <f>(C104/C108)</f>
        <v>2.2777653711823706E-2</v>
      </c>
      <c r="E104" s="81"/>
      <c r="F104" s="81"/>
      <c r="G104" s="88"/>
    </row>
    <row r="105" spans="1:7" ht="12" customHeight="1" x14ac:dyDescent="0.25">
      <c r="A105" s="91"/>
      <c r="B105" s="110" t="s">
        <v>26</v>
      </c>
      <c r="C105" s="83">
        <f>+G76</f>
        <v>4457925.0999999996</v>
      </c>
      <c r="D105" s="111">
        <f>(C105/C108)</f>
        <v>0.57693792159685831</v>
      </c>
      <c r="E105" s="81"/>
      <c r="F105" s="81"/>
      <c r="G105" s="88"/>
    </row>
    <row r="106" spans="1:7" ht="12" customHeight="1" x14ac:dyDescent="0.25">
      <c r="A106" s="91"/>
      <c r="B106" s="110" t="s">
        <v>56</v>
      </c>
      <c r="C106" s="85">
        <f>+G83</f>
        <v>0</v>
      </c>
      <c r="D106" s="111">
        <f>(C106/C108)</f>
        <v>0</v>
      </c>
      <c r="E106" s="87"/>
      <c r="F106" s="87"/>
      <c r="G106" s="88"/>
    </row>
    <row r="107" spans="1:7" ht="12" customHeight="1" x14ac:dyDescent="0.25">
      <c r="A107" s="91"/>
      <c r="B107" s="110" t="s">
        <v>57</v>
      </c>
      <c r="C107" s="85">
        <f>+G86</f>
        <v>367946.255</v>
      </c>
      <c r="D107" s="111">
        <f>(C107/C108)</f>
        <v>4.7619047619047623E-2</v>
      </c>
      <c r="E107" s="87"/>
      <c r="F107" s="87"/>
      <c r="G107" s="88"/>
    </row>
    <row r="108" spans="1:7" ht="12.75" customHeight="1" thickBot="1" x14ac:dyDescent="0.3">
      <c r="A108" s="91"/>
      <c r="B108" s="112" t="s">
        <v>58</v>
      </c>
      <c r="C108" s="113">
        <f>SUM(C102:C107)</f>
        <v>7726871.3549999995</v>
      </c>
      <c r="D108" s="114">
        <f>SUM(D102:D107)</f>
        <v>1</v>
      </c>
      <c r="E108" s="87"/>
      <c r="F108" s="87"/>
      <c r="G108" s="88"/>
    </row>
    <row r="109" spans="1:7" ht="12" customHeight="1" x14ac:dyDescent="0.25">
      <c r="A109" s="91"/>
      <c r="B109" s="106"/>
      <c r="C109" s="93"/>
      <c r="D109" s="93"/>
      <c r="E109" s="93"/>
      <c r="F109" s="93"/>
      <c r="G109" s="88"/>
    </row>
    <row r="110" spans="1:7" ht="12.75" customHeight="1" x14ac:dyDescent="0.25">
      <c r="A110" s="91"/>
      <c r="B110" s="107"/>
      <c r="C110" s="93"/>
      <c r="D110" s="93"/>
      <c r="E110" s="93"/>
      <c r="F110" s="93"/>
      <c r="G110" s="88"/>
    </row>
    <row r="111" spans="1:7" ht="12" customHeight="1" thickBot="1" x14ac:dyDescent="0.3">
      <c r="A111" s="80"/>
      <c r="B111" s="127"/>
      <c r="C111" s="128" t="s">
        <v>137</v>
      </c>
      <c r="D111" s="129"/>
      <c r="E111" s="130"/>
      <c r="F111" s="86"/>
      <c r="G111" s="88"/>
    </row>
    <row r="112" spans="1:7" ht="12" customHeight="1" thickBot="1" x14ac:dyDescent="0.3">
      <c r="A112" s="91"/>
      <c r="B112" s="131" t="s">
        <v>123</v>
      </c>
      <c r="C112" s="143">
        <f>400*5</f>
        <v>2000</v>
      </c>
      <c r="D112" s="143">
        <f>600*5</f>
        <v>3000</v>
      </c>
      <c r="E112" s="143">
        <f>700*5</f>
        <v>3500</v>
      </c>
      <c r="F112" s="126"/>
      <c r="G112" s="89"/>
    </row>
    <row r="113" spans="1:7" ht="12.75" customHeight="1" thickBot="1" x14ac:dyDescent="0.3">
      <c r="A113" s="91"/>
      <c r="B113" s="112" t="s">
        <v>124</v>
      </c>
      <c r="C113" s="113">
        <f>+C108/C112</f>
        <v>3863.4356774999997</v>
      </c>
      <c r="D113" s="113">
        <f>+C108/D112</f>
        <v>2575.6237849999998</v>
      </c>
      <c r="E113" s="143">
        <f>+C108/E112</f>
        <v>2207.6775299999999</v>
      </c>
      <c r="F113" s="126"/>
      <c r="G113" s="89"/>
    </row>
    <row r="114" spans="1:7" ht="15.6" customHeight="1" x14ac:dyDescent="0.25">
      <c r="A114" s="91"/>
      <c r="B114" s="117" t="s">
        <v>59</v>
      </c>
      <c r="C114" s="90"/>
      <c r="D114" s="90"/>
      <c r="E114" s="90"/>
      <c r="F114" s="90"/>
      <c r="G114" s="90"/>
    </row>
  </sheetData>
  <mergeCells count="8">
    <mergeCell ref="B100:C10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17"/>
  <sheetViews>
    <sheetView tabSelected="1" zoomScale="110" zoomScaleNormal="110" workbookViewId="0">
      <selection activeCell="H8" sqref="H8"/>
    </sheetView>
  </sheetViews>
  <sheetFormatPr baseColWidth="10" defaultColWidth="10.7109375" defaultRowHeight="11.25" customHeight="1" x14ac:dyDescent="0.25"/>
  <cols>
    <col min="1" max="1" width="4.42578125" style="151" customWidth="1"/>
    <col min="2" max="2" width="25" style="151" customWidth="1"/>
    <col min="3" max="3" width="19.42578125" style="151" customWidth="1"/>
    <col min="4" max="4" width="9.42578125" style="151" customWidth="1"/>
    <col min="5" max="5" width="14.42578125" style="151" customWidth="1"/>
    <col min="6" max="6" width="11" style="151" customWidth="1"/>
    <col min="7" max="7" width="12.42578125" style="151" customWidth="1"/>
    <col min="8" max="8" width="20.7109375" style="151" customWidth="1"/>
    <col min="9" max="9" width="11.7109375" style="151" bestFit="1" customWidth="1"/>
    <col min="10" max="255" width="10.7109375" style="151" customWidth="1"/>
    <col min="256" max="16384" width="10.7109375" style="152"/>
  </cols>
  <sheetData>
    <row r="1" spans="1:7" ht="15" customHeight="1" x14ac:dyDescent="0.25">
      <c r="A1" s="150"/>
      <c r="B1" s="150"/>
      <c r="C1" s="150"/>
      <c r="D1" s="150"/>
      <c r="E1" s="150"/>
      <c r="F1" s="150"/>
      <c r="G1" s="150"/>
    </row>
    <row r="2" spans="1:7" ht="15" customHeight="1" x14ac:dyDescent="0.25">
      <c r="A2" s="150"/>
      <c r="B2" s="150"/>
      <c r="C2" s="150"/>
      <c r="D2" s="150"/>
      <c r="E2" s="150"/>
      <c r="F2" s="150"/>
      <c r="G2" s="150"/>
    </row>
    <row r="3" spans="1:7" ht="15" customHeight="1" x14ac:dyDescent="0.25">
      <c r="A3" s="150"/>
      <c r="B3" s="150"/>
      <c r="C3" s="150"/>
      <c r="D3" s="150"/>
      <c r="E3" s="150"/>
      <c r="F3" s="150"/>
      <c r="G3" s="150"/>
    </row>
    <row r="4" spans="1:7" ht="15" customHeight="1" x14ac:dyDescent="0.25">
      <c r="A4" s="150"/>
      <c r="B4" s="150"/>
      <c r="C4" s="150"/>
      <c r="D4" s="150"/>
      <c r="E4" s="150"/>
      <c r="F4" s="150"/>
      <c r="G4" s="150"/>
    </row>
    <row r="5" spans="1:7" ht="15" customHeight="1" x14ac:dyDescent="0.25">
      <c r="A5" s="150"/>
      <c r="B5" s="150"/>
      <c r="C5" s="150"/>
      <c r="D5" s="150"/>
      <c r="E5" s="150"/>
      <c r="F5" s="150"/>
      <c r="G5" s="150"/>
    </row>
    <row r="6" spans="1:7" ht="15" customHeight="1" x14ac:dyDescent="0.25">
      <c r="A6" s="150"/>
      <c r="B6" s="150"/>
      <c r="C6" s="150"/>
      <c r="D6" s="150"/>
      <c r="E6" s="150"/>
      <c r="F6" s="150"/>
      <c r="G6" s="150"/>
    </row>
    <row r="7" spans="1:7" ht="15" customHeight="1" x14ac:dyDescent="0.25">
      <c r="A7" s="150"/>
      <c r="B7" s="150"/>
      <c r="C7" s="150"/>
      <c r="D7" s="150"/>
      <c r="E7" s="150"/>
      <c r="F7" s="150"/>
      <c r="G7" s="150"/>
    </row>
    <row r="8" spans="1:7" ht="15" customHeight="1" x14ac:dyDescent="0.25">
      <c r="A8" s="150"/>
      <c r="B8" s="153"/>
      <c r="C8" s="154"/>
      <c r="D8" s="150"/>
      <c r="E8" s="154"/>
      <c r="F8" s="154"/>
      <c r="G8" s="154"/>
    </row>
    <row r="9" spans="1:7" ht="12" customHeight="1" x14ac:dyDescent="0.25">
      <c r="A9" s="155"/>
      <c r="B9" s="156" t="s">
        <v>0</v>
      </c>
      <c r="C9" s="157" t="s">
        <v>146</v>
      </c>
      <c r="D9" s="158"/>
      <c r="E9" s="317" t="s">
        <v>126</v>
      </c>
      <c r="F9" s="318"/>
      <c r="G9" s="159">
        <f>+D115</f>
        <v>3000</v>
      </c>
    </row>
    <row r="10" spans="1:7" ht="15" x14ac:dyDescent="0.25">
      <c r="A10" s="155"/>
      <c r="B10" s="160" t="s">
        <v>1</v>
      </c>
      <c r="C10" s="161" t="s">
        <v>125</v>
      </c>
      <c r="D10" s="162"/>
      <c r="E10" s="319" t="s">
        <v>2</v>
      </c>
      <c r="F10" s="320"/>
      <c r="G10" s="163" t="s">
        <v>136</v>
      </c>
    </row>
    <row r="11" spans="1:7" ht="18" customHeight="1" x14ac:dyDescent="0.25">
      <c r="A11" s="155"/>
      <c r="B11" s="160" t="s">
        <v>3</v>
      </c>
      <c r="C11" s="163" t="s">
        <v>144</v>
      </c>
      <c r="D11" s="162"/>
      <c r="E11" s="319" t="s">
        <v>114</v>
      </c>
      <c r="F11" s="320"/>
      <c r="G11" s="164">
        <v>7000</v>
      </c>
    </row>
    <row r="12" spans="1:7" ht="15" x14ac:dyDescent="0.25">
      <c r="A12" s="155"/>
      <c r="B12" s="160" t="s">
        <v>4</v>
      </c>
      <c r="C12" s="165" t="s">
        <v>61</v>
      </c>
      <c r="D12" s="162"/>
      <c r="E12" s="166" t="s">
        <v>5</v>
      </c>
      <c r="F12" s="167"/>
      <c r="G12" s="168">
        <f>+G11*G9</f>
        <v>21000000</v>
      </c>
    </row>
    <row r="13" spans="1:7" ht="25.5" x14ac:dyDescent="0.25">
      <c r="A13" s="155"/>
      <c r="B13" s="160" t="s">
        <v>6</v>
      </c>
      <c r="C13" s="163" t="s">
        <v>145</v>
      </c>
      <c r="D13" s="162"/>
      <c r="E13" s="319" t="s">
        <v>7</v>
      </c>
      <c r="F13" s="320"/>
      <c r="G13" s="165" t="s">
        <v>127</v>
      </c>
    </row>
    <row r="14" spans="1:7" ht="15" x14ac:dyDescent="0.25">
      <c r="A14" s="155"/>
      <c r="B14" s="160" t="s">
        <v>8</v>
      </c>
      <c r="C14" s="163" t="s">
        <v>145</v>
      </c>
      <c r="D14" s="162"/>
      <c r="E14" s="319" t="s">
        <v>9</v>
      </c>
      <c r="F14" s="320"/>
      <c r="G14" s="163" t="s">
        <v>62</v>
      </c>
    </row>
    <row r="15" spans="1:7" ht="25.5" customHeight="1" x14ac:dyDescent="0.25">
      <c r="A15" s="155"/>
      <c r="B15" s="160" t="s">
        <v>10</v>
      </c>
      <c r="C15" s="284">
        <v>45017</v>
      </c>
      <c r="D15" s="162"/>
      <c r="E15" s="321" t="s">
        <v>11</v>
      </c>
      <c r="F15" s="322"/>
      <c r="G15" s="165" t="s">
        <v>147</v>
      </c>
    </row>
    <row r="16" spans="1:7" ht="12" customHeight="1" x14ac:dyDescent="0.25">
      <c r="A16" s="150"/>
      <c r="B16" s="169"/>
      <c r="C16" s="170"/>
      <c r="D16" s="171"/>
      <c r="E16" s="172"/>
      <c r="F16" s="172"/>
      <c r="G16" s="173"/>
    </row>
    <row r="17" spans="1:8" ht="12" customHeight="1" x14ac:dyDescent="0.25">
      <c r="A17" s="174"/>
      <c r="B17" s="313" t="s">
        <v>96</v>
      </c>
      <c r="C17" s="314"/>
      <c r="D17" s="314"/>
      <c r="E17" s="314"/>
      <c r="F17" s="314"/>
      <c r="G17" s="314"/>
    </row>
    <row r="18" spans="1:8" ht="12" customHeight="1" x14ac:dyDescent="0.25">
      <c r="A18" s="150"/>
      <c r="B18" s="175"/>
      <c r="C18" s="176"/>
      <c r="D18" s="176"/>
      <c r="E18" s="176"/>
      <c r="F18" s="177"/>
      <c r="G18" s="177"/>
    </row>
    <row r="19" spans="1:8" ht="12" customHeight="1" x14ac:dyDescent="0.25">
      <c r="A19" s="155"/>
      <c r="B19" s="178" t="s">
        <v>12</v>
      </c>
      <c r="C19" s="179"/>
      <c r="D19" s="180"/>
      <c r="E19" s="180"/>
      <c r="F19" s="180"/>
      <c r="G19" s="180"/>
    </row>
    <row r="20" spans="1:8" ht="24" customHeight="1" x14ac:dyDescent="0.25">
      <c r="A20" s="174"/>
      <c r="B20" s="181" t="s">
        <v>13</v>
      </c>
      <c r="C20" s="181" t="s">
        <v>14</v>
      </c>
      <c r="D20" s="181" t="s">
        <v>15</v>
      </c>
      <c r="E20" s="181" t="s">
        <v>16</v>
      </c>
      <c r="F20" s="181" t="s">
        <v>17</v>
      </c>
      <c r="G20" s="181" t="s">
        <v>18</v>
      </c>
    </row>
    <row r="21" spans="1:8" ht="12.75" customHeight="1" x14ac:dyDescent="0.25">
      <c r="A21" s="174"/>
      <c r="B21" s="182" t="s">
        <v>63</v>
      </c>
      <c r="C21" s="183" t="s">
        <v>19</v>
      </c>
      <c r="D21" s="184">
        <f>7000*4*5/20000</f>
        <v>7</v>
      </c>
      <c r="E21" s="182" t="s">
        <v>116</v>
      </c>
      <c r="F21" s="168">
        <v>31250</v>
      </c>
      <c r="G21" s="168">
        <f>+F21*D21</f>
        <v>218750</v>
      </c>
      <c r="H21" s="285"/>
    </row>
    <row r="22" spans="1:8" ht="12.75" customHeight="1" x14ac:dyDescent="0.25">
      <c r="A22" s="174"/>
      <c r="B22" s="182" t="s">
        <v>97</v>
      </c>
      <c r="C22" s="183" t="s">
        <v>19</v>
      </c>
      <c r="D22" s="184">
        <v>2</v>
      </c>
      <c r="E22" s="182" t="s">
        <v>98</v>
      </c>
      <c r="F22" s="168">
        <v>31250</v>
      </c>
      <c r="G22" s="168">
        <f>+F22*D22</f>
        <v>62500</v>
      </c>
    </row>
    <row r="23" spans="1:8" ht="12.75" customHeight="1" x14ac:dyDescent="0.25">
      <c r="A23" s="174"/>
      <c r="B23" s="182" t="s">
        <v>66</v>
      </c>
      <c r="C23" s="183" t="s">
        <v>117</v>
      </c>
      <c r="D23" s="184"/>
      <c r="E23" s="182"/>
      <c r="F23" s="168">
        <v>31250</v>
      </c>
      <c r="G23" s="168"/>
    </row>
    <row r="24" spans="1:8" ht="12.75" customHeight="1" x14ac:dyDescent="0.25">
      <c r="A24" s="174"/>
      <c r="B24" s="182" t="s">
        <v>64</v>
      </c>
      <c r="C24" s="183" t="s">
        <v>19</v>
      </c>
      <c r="D24" s="184">
        <v>3</v>
      </c>
      <c r="E24" s="182" t="s">
        <v>99</v>
      </c>
      <c r="F24" s="168">
        <v>31250</v>
      </c>
      <c r="G24" s="168">
        <f t="shared" ref="G24:G28" si="0">+F24*D24</f>
        <v>93750</v>
      </c>
    </row>
    <row r="25" spans="1:8" ht="12.75" customHeight="1" x14ac:dyDescent="0.25">
      <c r="A25" s="174"/>
      <c r="B25" s="182" t="s">
        <v>128</v>
      </c>
      <c r="C25" s="183" t="s">
        <v>19</v>
      </c>
      <c r="D25" s="184">
        <v>5</v>
      </c>
      <c r="E25" s="182" t="s">
        <v>129</v>
      </c>
      <c r="F25" s="168">
        <v>31250</v>
      </c>
      <c r="G25" s="168">
        <f t="shared" si="0"/>
        <v>156250</v>
      </c>
    </row>
    <row r="26" spans="1:8" ht="12.75" customHeight="1" x14ac:dyDescent="0.25">
      <c r="A26" s="174"/>
      <c r="B26" s="182" t="s">
        <v>65</v>
      </c>
      <c r="C26" s="183" t="s">
        <v>19</v>
      </c>
      <c r="D26" s="184">
        <f>500*5*2/100</f>
        <v>50</v>
      </c>
      <c r="E26" s="182" t="s">
        <v>130</v>
      </c>
      <c r="F26" s="168">
        <v>31250</v>
      </c>
      <c r="G26" s="168">
        <f t="shared" si="0"/>
        <v>1562500</v>
      </c>
    </row>
    <row r="27" spans="1:8" ht="12.75" customHeight="1" x14ac:dyDescent="0.25">
      <c r="A27" s="174"/>
      <c r="B27" s="185" t="s">
        <v>82</v>
      </c>
      <c r="C27" s="183" t="s">
        <v>19</v>
      </c>
      <c r="D27" s="184">
        <v>30</v>
      </c>
      <c r="E27" s="182" t="s">
        <v>99</v>
      </c>
      <c r="F27" s="168">
        <v>31250</v>
      </c>
      <c r="G27" s="168">
        <f t="shared" si="0"/>
        <v>937500</v>
      </c>
    </row>
    <row r="28" spans="1:8" ht="12.75" customHeight="1" x14ac:dyDescent="0.25">
      <c r="A28" s="174"/>
      <c r="B28" s="185" t="s">
        <v>83</v>
      </c>
      <c r="C28" s="183" t="s">
        <v>19</v>
      </c>
      <c r="D28" s="184">
        <f>30000*5/20000</f>
        <v>7.5</v>
      </c>
      <c r="E28" s="182" t="s">
        <v>129</v>
      </c>
      <c r="F28" s="168">
        <v>50000</v>
      </c>
      <c r="G28" s="168">
        <f t="shared" si="0"/>
        <v>375000</v>
      </c>
    </row>
    <row r="29" spans="1:8" ht="12.75" customHeight="1" x14ac:dyDescent="0.25">
      <c r="A29" s="174"/>
      <c r="B29" s="185"/>
      <c r="C29" s="183"/>
      <c r="D29" s="184"/>
      <c r="E29" s="182"/>
      <c r="F29" s="168"/>
      <c r="G29" s="168"/>
    </row>
    <row r="30" spans="1:8" ht="12.75" customHeight="1" x14ac:dyDescent="0.25">
      <c r="A30" s="174"/>
      <c r="B30" s="186" t="s">
        <v>20</v>
      </c>
      <c r="C30" s="187"/>
      <c r="D30" s="187"/>
      <c r="E30" s="187"/>
      <c r="F30" s="188"/>
      <c r="G30" s="189">
        <f>SUM(G24:G29)</f>
        <v>3125000</v>
      </c>
      <c r="H30" s="190"/>
    </row>
    <row r="31" spans="1:8" ht="12" customHeight="1" x14ac:dyDescent="0.25">
      <c r="A31" s="150"/>
      <c r="B31" s="175"/>
      <c r="C31" s="177"/>
      <c r="D31" s="177"/>
      <c r="E31" s="177"/>
      <c r="F31" s="191"/>
      <c r="G31" s="191"/>
    </row>
    <row r="32" spans="1:8" ht="12" customHeight="1" x14ac:dyDescent="0.25">
      <c r="A32" s="155"/>
      <c r="B32" s="192" t="s">
        <v>21</v>
      </c>
      <c r="C32" s="193"/>
      <c r="D32" s="194"/>
      <c r="E32" s="194"/>
      <c r="F32" s="195"/>
      <c r="G32" s="195"/>
    </row>
    <row r="33" spans="1:8" ht="24" customHeight="1" x14ac:dyDescent="0.25">
      <c r="A33" s="155"/>
      <c r="B33" s="196" t="s">
        <v>13</v>
      </c>
      <c r="C33" s="197" t="s">
        <v>14</v>
      </c>
      <c r="D33" s="197" t="s">
        <v>15</v>
      </c>
      <c r="E33" s="196" t="s">
        <v>16</v>
      </c>
      <c r="F33" s="197" t="s">
        <v>17</v>
      </c>
      <c r="G33" s="196" t="s">
        <v>18</v>
      </c>
    </row>
    <row r="34" spans="1:8" ht="12" customHeight="1" x14ac:dyDescent="0.25">
      <c r="A34" s="155"/>
      <c r="B34" s="198"/>
      <c r="C34" s="199"/>
      <c r="D34" s="199"/>
      <c r="E34" s="199"/>
      <c r="F34" s="198"/>
      <c r="G34" s="198"/>
    </row>
    <row r="35" spans="1:8" ht="12" customHeight="1" x14ac:dyDescent="0.25">
      <c r="A35" s="155"/>
      <c r="B35" s="200" t="s">
        <v>22</v>
      </c>
      <c r="C35" s="201"/>
      <c r="D35" s="201"/>
      <c r="E35" s="201"/>
      <c r="F35" s="202"/>
      <c r="G35" s="202"/>
    </row>
    <row r="36" spans="1:8" ht="12" customHeight="1" x14ac:dyDescent="0.25">
      <c r="A36" s="150"/>
      <c r="B36" s="203"/>
      <c r="C36" s="204"/>
      <c r="D36" s="204"/>
      <c r="E36" s="204"/>
      <c r="F36" s="205"/>
      <c r="G36" s="205"/>
    </row>
    <row r="37" spans="1:8" ht="12" customHeight="1" x14ac:dyDescent="0.25">
      <c r="A37" s="155"/>
      <c r="B37" s="192" t="s">
        <v>23</v>
      </c>
      <c r="C37" s="193"/>
      <c r="D37" s="194"/>
      <c r="E37" s="194"/>
      <c r="F37" s="195"/>
      <c r="G37" s="195"/>
    </row>
    <row r="38" spans="1:8" ht="24" customHeight="1" x14ac:dyDescent="0.25">
      <c r="A38" s="155"/>
      <c r="B38" s="206" t="s">
        <v>13</v>
      </c>
      <c r="C38" s="206" t="s">
        <v>14</v>
      </c>
      <c r="D38" s="206" t="s">
        <v>15</v>
      </c>
      <c r="E38" s="206" t="s">
        <v>16</v>
      </c>
      <c r="F38" s="207" t="s">
        <v>17</v>
      </c>
      <c r="G38" s="206" t="s">
        <v>18</v>
      </c>
    </row>
    <row r="39" spans="1:8" ht="12.75" customHeight="1" x14ac:dyDescent="0.25">
      <c r="A39" s="174"/>
      <c r="B39" s="182" t="s">
        <v>67</v>
      </c>
      <c r="C39" s="183" t="s">
        <v>141</v>
      </c>
      <c r="D39" s="184">
        <v>7</v>
      </c>
      <c r="E39" s="165" t="s">
        <v>118</v>
      </c>
      <c r="F39" s="168">
        <v>31250</v>
      </c>
      <c r="G39" s="168">
        <f>+F39*D39</f>
        <v>218750</v>
      </c>
    </row>
    <row r="40" spans="1:8" ht="12.75" customHeight="1" x14ac:dyDescent="0.25">
      <c r="A40" s="174"/>
      <c r="B40" s="182"/>
      <c r="C40" s="183"/>
      <c r="D40" s="184"/>
      <c r="E40" s="165"/>
      <c r="F40" s="168"/>
      <c r="G40" s="168"/>
    </row>
    <row r="41" spans="1:8" ht="12.75" customHeight="1" x14ac:dyDescent="0.25">
      <c r="A41" s="155"/>
      <c r="B41" s="208" t="s">
        <v>24</v>
      </c>
      <c r="C41" s="209"/>
      <c r="D41" s="209"/>
      <c r="E41" s="209"/>
      <c r="F41" s="210"/>
      <c r="G41" s="211">
        <f>SUM(G39:G40)</f>
        <v>218750</v>
      </c>
    </row>
    <row r="42" spans="1:8" ht="12" customHeight="1" x14ac:dyDescent="0.25">
      <c r="A42" s="150"/>
      <c r="B42" s="203"/>
      <c r="C42" s="204"/>
      <c r="D42" s="204"/>
      <c r="E42" s="204"/>
      <c r="F42" s="205"/>
      <c r="G42" s="205"/>
    </row>
    <row r="43" spans="1:8" ht="12" customHeight="1" x14ac:dyDescent="0.25">
      <c r="A43" s="155"/>
      <c r="B43" s="192" t="s">
        <v>25</v>
      </c>
      <c r="C43" s="193"/>
      <c r="D43" s="194"/>
      <c r="E43" s="194"/>
      <c r="F43" s="195"/>
      <c r="G43" s="195"/>
    </row>
    <row r="44" spans="1:8" ht="24" customHeight="1" x14ac:dyDescent="0.25">
      <c r="A44" s="155"/>
      <c r="B44" s="207" t="s">
        <v>26</v>
      </c>
      <c r="C44" s="207" t="s">
        <v>27</v>
      </c>
      <c r="D44" s="207" t="s">
        <v>28</v>
      </c>
      <c r="E44" s="207" t="s">
        <v>16</v>
      </c>
      <c r="F44" s="207" t="s">
        <v>17</v>
      </c>
      <c r="G44" s="207" t="s">
        <v>18</v>
      </c>
    </row>
    <row r="45" spans="1:8" ht="12.75" customHeight="1" x14ac:dyDescent="0.25">
      <c r="A45" s="174"/>
      <c r="B45" s="286" t="s">
        <v>148</v>
      </c>
      <c r="C45" s="287" t="s">
        <v>149</v>
      </c>
      <c r="D45" s="288">
        <v>620</v>
      </c>
      <c r="E45" s="287" t="s">
        <v>150</v>
      </c>
      <c r="F45" s="289">
        <v>2613</v>
      </c>
      <c r="G45" s="289">
        <f>(D45*F45)</f>
        <v>1620060</v>
      </c>
      <c r="H45" s="290"/>
    </row>
    <row r="46" spans="1:8" ht="12.75" customHeight="1" x14ac:dyDescent="0.25">
      <c r="A46" s="174"/>
      <c r="B46" s="286" t="s">
        <v>138</v>
      </c>
      <c r="C46" s="287" t="s">
        <v>69</v>
      </c>
      <c r="D46" s="288">
        <f>1000*4*5</f>
        <v>20000</v>
      </c>
      <c r="E46" s="287" t="s">
        <v>100</v>
      </c>
      <c r="F46" s="289">
        <v>138</v>
      </c>
      <c r="G46" s="289">
        <f>+F46*D46</f>
        <v>2760000</v>
      </c>
      <c r="H46" s="290"/>
    </row>
    <row r="47" spans="1:8" ht="12.75" customHeight="1" x14ac:dyDescent="0.25">
      <c r="A47" s="174"/>
      <c r="B47" s="214" t="s">
        <v>29</v>
      </c>
      <c r="C47" s="212"/>
      <c r="D47" s="167"/>
      <c r="E47" s="212"/>
      <c r="F47" s="213"/>
      <c r="G47" s="213"/>
    </row>
    <row r="48" spans="1:8" ht="12.75" customHeight="1" x14ac:dyDescent="0.25">
      <c r="A48" s="174"/>
      <c r="B48" s="166" t="s">
        <v>70</v>
      </c>
      <c r="C48" s="212" t="s">
        <v>30</v>
      </c>
      <c r="D48" s="167">
        <v>50</v>
      </c>
      <c r="E48" s="212" t="s">
        <v>68</v>
      </c>
      <c r="F48" s="213">
        <v>2350</v>
      </c>
      <c r="G48" s="213">
        <f>+F48*D48</f>
        <v>117500</v>
      </c>
    </row>
    <row r="49" spans="1:7" ht="12.75" customHeight="1" x14ac:dyDescent="0.25">
      <c r="A49" s="174"/>
      <c r="B49" s="166" t="s">
        <v>71</v>
      </c>
      <c r="C49" s="212" t="s">
        <v>30</v>
      </c>
      <c r="D49" s="167">
        <v>25</v>
      </c>
      <c r="E49" s="212" t="s">
        <v>68</v>
      </c>
      <c r="F49" s="213">
        <v>1313</v>
      </c>
      <c r="G49" s="213">
        <f>+F49*D49</f>
        <v>32825</v>
      </c>
    </row>
    <row r="50" spans="1:7" ht="12.75" customHeight="1" x14ac:dyDescent="0.25">
      <c r="A50" s="174"/>
      <c r="B50" s="166" t="s">
        <v>72</v>
      </c>
      <c r="C50" s="215" t="s">
        <v>30</v>
      </c>
      <c r="D50" s="216">
        <v>25</v>
      </c>
      <c r="E50" s="215" t="s">
        <v>68</v>
      </c>
      <c r="F50" s="213">
        <v>1000</v>
      </c>
      <c r="G50" s="213">
        <f>(D50*F50)</f>
        <v>25000</v>
      </c>
    </row>
    <row r="51" spans="1:7" ht="12.75" customHeight="1" x14ac:dyDescent="0.25">
      <c r="A51" s="174"/>
      <c r="B51" s="166" t="s">
        <v>73</v>
      </c>
      <c r="C51" s="215" t="s">
        <v>31</v>
      </c>
      <c r="D51" s="216">
        <v>25</v>
      </c>
      <c r="E51" s="215" t="s">
        <v>68</v>
      </c>
      <c r="F51" s="213">
        <v>3375</v>
      </c>
      <c r="G51" s="213">
        <f>(D51*F51)</f>
        <v>84375</v>
      </c>
    </row>
    <row r="52" spans="1:7" ht="12.75" customHeight="1" x14ac:dyDescent="0.25">
      <c r="A52" s="174"/>
      <c r="B52" s="166" t="s">
        <v>74</v>
      </c>
      <c r="C52" s="215" t="s">
        <v>30</v>
      </c>
      <c r="D52" s="216">
        <v>50</v>
      </c>
      <c r="E52" s="215" t="s">
        <v>68</v>
      </c>
      <c r="F52" s="213">
        <v>1231</v>
      </c>
      <c r="G52" s="213">
        <f>+F52*D52</f>
        <v>61550</v>
      </c>
    </row>
    <row r="53" spans="1:7" ht="12.75" customHeight="1" x14ac:dyDescent="0.25">
      <c r="A53" s="174"/>
      <c r="B53" s="166" t="s">
        <v>109</v>
      </c>
      <c r="C53" s="215" t="s">
        <v>110</v>
      </c>
      <c r="D53" s="216">
        <v>1</v>
      </c>
      <c r="E53" s="215" t="s">
        <v>68</v>
      </c>
      <c r="F53" s="213">
        <v>52500</v>
      </c>
      <c r="G53" s="213">
        <f>+F53*D53</f>
        <v>52500</v>
      </c>
    </row>
    <row r="54" spans="1:7" ht="12.75" customHeight="1" x14ac:dyDescent="0.25">
      <c r="A54" s="174"/>
      <c r="B54" s="166"/>
      <c r="C54" s="215"/>
      <c r="D54" s="216"/>
      <c r="E54" s="215"/>
      <c r="F54" s="213"/>
      <c r="G54" s="213"/>
    </row>
    <row r="55" spans="1:7" ht="12.75" customHeight="1" x14ac:dyDescent="0.25">
      <c r="A55" s="174"/>
      <c r="B55" s="214" t="s">
        <v>32</v>
      </c>
      <c r="C55" s="212"/>
      <c r="D55" s="167"/>
      <c r="E55" s="212"/>
      <c r="F55" s="213"/>
      <c r="G55" s="213"/>
    </row>
    <row r="56" spans="1:7" ht="12.75" customHeight="1" x14ac:dyDescent="0.25">
      <c r="A56" s="174"/>
      <c r="B56" s="166" t="s">
        <v>75</v>
      </c>
      <c r="C56" s="215" t="s">
        <v>76</v>
      </c>
      <c r="D56" s="216">
        <v>1</v>
      </c>
      <c r="E56" s="215" t="s">
        <v>68</v>
      </c>
      <c r="F56" s="213">
        <v>27500</v>
      </c>
      <c r="G56" s="213">
        <f>+F56*D56</f>
        <v>27500</v>
      </c>
    </row>
    <row r="57" spans="1:7" ht="12.75" customHeight="1" x14ac:dyDescent="0.25">
      <c r="A57" s="174"/>
      <c r="B57" s="166" t="s">
        <v>77</v>
      </c>
      <c r="C57" s="215" t="s">
        <v>78</v>
      </c>
      <c r="D57" s="216">
        <v>2</v>
      </c>
      <c r="E57" s="215" t="s">
        <v>68</v>
      </c>
      <c r="F57" s="213">
        <v>19750</v>
      </c>
      <c r="G57" s="213">
        <f>+F57*D57</f>
        <v>39500</v>
      </c>
    </row>
    <row r="58" spans="1:7" ht="12.75" customHeight="1" x14ac:dyDescent="0.25">
      <c r="A58" s="174"/>
      <c r="B58" s="214" t="s">
        <v>91</v>
      </c>
      <c r="C58" s="212"/>
      <c r="D58" s="167"/>
      <c r="E58" s="212"/>
      <c r="F58" s="213"/>
      <c r="G58" s="213"/>
    </row>
    <row r="59" spans="1:7" ht="12.75" customHeight="1" x14ac:dyDescent="0.25">
      <c r="A59" s="174"/>
      <c r="B59" s="166" t="s">
        <v>87</v>
      </c>
      <c r="C59" s="215" t="s">
        <v>88</v>
      </c>
      <c r="D59" s="216">
        <v>0.5</v>
      </c>
      <c r="E59" s="215" t="s">
        <v>68</v>
      </c>
      <c r="F59" s="213">
        <v>385625</v>
      </c>
      <c r="G59" s="217">
        <f t="shared" ref="G59:G64" si="1">+F59*D59</f>
        <v>192812.5</v>
      </c>
    </row>
    <row r="60" spans="1:7" ht="12.75" customHeight="1" x14ac:dyDescent="0.25">
      <c r="A60" s="174"/>
      <c r="B60" s="166" t="s">
        <v>79</v>
      </c>
      <c r="C60" s="215" t="s">
        <v>88</v>
      </c>
      <c r="D60" s="216">
        <v>1</v>
      </c>
      <c r="E60" s="215" t="s">
        <v>68</v>
      </c>
      <c r="F60" s="213">
        <v>24750</v>
      </c>
      <c r="G60" s="217">
        <f t="shared" si="1"/>
        <v>24750</v>
      </c>
    </row>
    <row r="61" spans="1:7" ht="12.75" customHeight="1" x14ac:dyDescent="0.25">
      <c r="A61" s="174"/>
      <c r="B61" s="166" t="s">
        <v>89</v>
      </c>
      <c r="C61" s="215" t="s">
        <v>90</v>
      </c>
      <c r="D61" s="216">
        <v>1</v>
      </c>
      <c r="E61" s="215" t="s">
        <v>68</v>
      </c>
      <c r="F61" s="213">
        <v>55000</v>
      </c>
      <c r="G61" s="217">
        <f t="shared" si="1"/>
        <v>55000</v>
      </c>
    </row>
    <row r="62" spans="1:7" ht="12.75" customHeight="1" x14ac:dyDescent="0.25">
      <c r="A62" s="174"/>
      <c r="B62" s="166" t="s">
        <v>119</v>
      </c>
      <c r="C62" s="215" t="s">
        <v>120</v>
      </c>
      <c r="D62" s="216">
        <v>1</v>
      </c>
      <c r="E62" s="215" t="s">
        <v>121</v>
      </c>
      <c r="F62" s="218">
        <v>299375</v>
      </c>
      <c r="G62" s="217">
        <f t="shared" si="1"/>
        <v>299375</v>
      </c>
    </row>
    <row r="63" spans="1:7" ht="12.75" customHeight="1" x14ac:dyDescent="0.25">
      <c r="A63" s="174"/>
      <c r="B63" s="166" t="s">
        <v>104</v>
      </c>
      <c r="C63" s="215" t="s">
        <v>88</v>
      </c>
      <c r="D63" s="216">
        <v>0.5</v>
      </c>
      <c r="E63" s="215" t="s">
        <v>68</v>
      </c>
      <c r="F63" s="213">
        <v>70625</v>
      </c>
      <c r="G63" s="217">
        <f t="shared" si="1"/>
        <v>35312.5</v>
      </c>
    </row>
    <row r="64" spans="1:7" ht="12.75" customHeight="1" x14ac:dyDescent="0.25">
      <c r="A64" s="174"/>
      <c r="B64" s="166" t="s">
        <v>108</v>
      </c>
      <c r="C64" s="215" t="s">
        <v>88</v>
      </c>
      <c r="D64" s="216">
        <v>1</v>
      </c>
      <c r="E64" s="215" t="s">
        <v>68</v>
      </c>
      <c r="F64" s="213">
        <v>27000</v>
      </c>
      <c r="G64" s="217">
        <f t="shared" si="1"/>
        <v>27000</v>
      </c>
    </row>
    <row r="65" spans="1:7" ht="12.75" customHeight="1" x14ac:dyDescent="0.25">
      <c r="A65" s="174"/>
      <c r="B65" s="166" t="s">
        <v>122</v>
      </c>
      <c r="C65" s="215" t="s">
        <v>120</v>
      </c>
      <c r="D65" s="216">
        <v>1</v>
      </c>
      <c r="E65" s="215" t="s">
        <v>121</v>
      </c>
      <c r="F65" s="213">
        <v>56875</v>
      </c>
      <c r="G65" s="217">
        <f>+F65+D65</f>
        <v>56876</v>
      </c>
    </row>
    <row r="66" spans="1:7" ht="12.75" customHeight="1" x14ac:dyDescent="0.25">
      <c r="A66" s="174"/>
      <c r="B66" s="166" t="s">
        <v>133</v>
      </c>
      <c r="C66" s="215" t="s">
        <v>134</v>
      </c>
      <c r="D66" s="216">
        <f>120*30*4*5/1000/20</f>
        <v>3.6</v>
      </c>
      <c r="E66" s="215" t="s">
        <v>118</v>
      </c>
      <c r="F66" s="218">
        <v>102489</v>
      </c>
      <c r="G66" s="217">
        <f>+F66*D66</f>
        <v>368960.4</v>
      </c>
    </row>
    <row r="67" spans="1:7" ht="12.75" customHeight="1" x14ac:dyDescent="0.25">
      <c r="A67" s="174"/>
      <c r="B67" s="214" t="s">
        <v>34</v>
      </c>
      <c r="C67" s="215"/>
      <c r="D67" s="216"/>
      <c r="E67" s="215"/>
      <c r="F67" s="213"/>
      <c r="G67" s="216"/>
    </row>
    <row r="68" spans="1:7" ht="12.75" customHeight="1" x14ac:dyDescent="0.25">
      <c r="A68" s="174"/>
      <c r="B68" s="166" t="s">
        <v>131</v>
      </c>
      <c r="C68" s="215" t="s">
        <v>132</v>
      </c>
      <c r="D68" s="216">
        <v>5</v>
      </c>
      <c r="E68" s="215" t="s">
        <v>118</v>
      </c>
      <c r="F68" s="218">
        <v>31250</v>
      </c>
      <c r="G68" s="217">
        <f>+F68*D68</f>
        <v>156250</v>
      </c>
    </row>
    <row r="69" spans="1:7" ht="12.75" customHeight="1" x14ac:dyDescent="0.25">
      <c r="A69" s="174"/>
      <c r="B69" s="166" t="s">
        <v>107</v>
      </c>
      <c r="C69" s="215" t="s">
        <v>88</v>
      </c>
      <c r="D69" s="216">
        <v>1</v>
      </c>
      <c r="E69" s="215" t="s">
        <v>68</v>
      </c>
      <c r="F69" s="213">
        <v>44309</v>
      </c>
      <c r="G69" s="217">
        <f t="shared" ref="G69:G77" si="2">+F69*D69</f>
        <v>44309</v>
      </c>
    </row>
    <row r="70" spans="1:7" ht="12.75" customHeight="1" x14ac:dyDescent="0.25">
      <c r="A70" s="174"/>
      <c r="B70" s="166" t="s">
        <v>106</v>
      </c>
      <c r="C70" s="215" t="s">
        <v>88</v>
      </c>
      <c r="D70" s="216">
        <v>2</v>
      </c>
      <c r="E70" s="215" t="s">
        <v>68</v>
      </c>
      <c r="F70" s="213">
        <v>26250</v>
      </c>
      <c r="G70" s="213">
        <f t="shared" si="2"/>
        <v>52500</v>
      </c>
    </row>
    <row r="71" spans="1:7" ht="12.75" customHeight="1" x14ac:dyDescent="0.25">
      <c r="A71" s="174"/>
      <c r="B71" s="166" t="s">
        <v>105</v>
      </c>
      <c r="C71" s="215" t="s">
        <v>78</v>
      </c>
      <c r="D71" s="216">
        <v>2</v>
      </c>
      <c r="E71" s="215" t="s">
        <v>68</v>
      </c>
      <c r="F71" s="213">
        <v>27300</v>
      </c>
      <c r="G71" s="213">
        <f t="shared" si="2"/>
        <v>54600</v>
      </c>
    </row>
    <row r="72" spans="1:7" ht="12.75" customHeight="1" x14ac:dyDescent="0.25">
      <c r="A72" s="174"/>
      <c r="B72" s="166" t="s">
        <v>80</v>
      </c>
      <c r="C72" s="215" t="s">
        <v>93</v>
      </c>
      <c r="D72" s="216">
        <v>1</v>
      </c>
      <c r="E72" s="215" t="s">
        <v>68</v>
      </c>
      <c r="F72" s="213">
        <v>58750</v>
      </c>
      <c r="G72" s="213">
        <f t="shared" si="2"/>
        <v>58750</v>
      </c>
    </row>
    <row r="73" spans="1:7" ht="12.75" customHeight="1" x14ac:dyDescent="0.25">
      <c r="A73" s="174"/>
      <c r="B73" s="166" t="s">
        <v>112</v>
      </c>
      <c r="C73" s="215" t="s">
        <v>111</v>
      </c>
      <c r="D73" s="216">
        <v>1.5</v>
      </c>
      <c r="E73" s="215" t="s">
        <v>85</v>
      </c>
      <c r="F73" s="213">
        <v>264250</v>
      </c>
      <c r="G73" s="213">
        <f t="shared" si="2"/>
        <v>396375</v>
      </c>
    </row>
    <row r="74" spans="1:7" ht="12.75" customHeight="1" x14ac:dyDescent="0.25">
      <c r="A74" s="174"/>
      <c r="B74" s="166" t="s">
        <v>84</v>
      </c>
      <c r="C74" s="215" t="s">
        <v>86</v>
      </c>
      <c r="D74" s="216">
        <v>0.5</v>
      </c>
      <c r="E74" s="215" t="s">
        <v>85</v>
      </c>
      <c r="F74" s="213">
        <v>87500</v>
      </c>
      <c r="G74" s="213">
        <f t="shared" si="2"/>
        <v>43750</v>
      </c>
    </row>
    <row r="75" spans="1:7" ht="12.75" customHeight="1" x14ac:dyDescent="0.25">
      <c r="A75" s="174"/>
      <c r="B75" s="219" t="s">
        <v>94</v>
      </c>
      <c r="C75" s="220" t="s">
        <v>95</v>
      </c>
      <c r="D75" s="221">
        <f>32*4*4*5</f>
        <v>2560</v>
      </c>
      <c r="E75" s="220" t="s">
        <v>85</v>
      </c>
      <c r="F75" s="222">
        <v>89</v>
      </c>
      <c r="G75" s="222">
        <f t="shared" si="2"/>
        <v>227840</v>
      </c>
    </row>
    <row r="76" spans="1:7" ht="12.75" customHeight="1" x14ac:dyDescent="0.25">
      <c r="A76" s="174"/>
      <c r="B76" s="219" t="s">
        <v>102</v>
      </c>
      <c r="C76" s="220" t="s">
        <v>103</v>
      </c>
      <c r="D76" s="221">
        <v>1</v>
      </c>
      <c r="E76" s="220" t="s">
        <v>68</v>
      </c>
      <c r="F76" s="222">
        <v>320783</v>
      </c>
      <c r="G76" s="222">
        <f t="shared" si="2"/>
        <v>320783</v>
      </c>
    </row>
    <row r="77" spans="1:7" ht="12.75" customHeight="1" x14ac:dyDescent="0.25">
      <c r="A77" s="174"/>
      <c r="B77" s="223" t="s">
        <v>101</v>
      </c>
      <c r="C77" s="224" t="s">
        <v>92</v>
      </c>
      <c r="D77" s="225">
        <v>12</v>
      </c>
      <c r="E77" s="224" t="s">
        <v>68</v>
      </c>
      <c r="F77" s="226">
        <v>24438</v>
      </c>
      <c r="G77" s="226">
        <f t="shared" si="2"/>
        <v>293256</v>
      </c>
    </row>
    <row r="78" spans="1:7" ht="13.5" customHeight="1" x14ac:dyDescent="0.25">
      <c r="A78" s="155"/>
      <c r="B78" s="227" t="s">
        <v>33</v>
      </c>
      <c r="C78" s="228"/>
      <c r="D78" s="228"/>
      <c r="E78" s="228"/>
      <c r="F78" s="229"/>
      <c r="G78" s="230">
        <f>SUM(G45:G77)</f>
        <v>7529309.4000000004</v>
      </c>
    </row>
    <row r="79" spans="1:7" ht="12" customHeight="1" x14ac:dyDescent="0.25">
      <c r="A79" s="150"/>
      <c r="B79" s="203"/>
      <c r="C79" s="204"/>
      <c r="D79" s="204"/>
      <c r="E79" s="231"/>
      <c r="F79" s="205"/>
      <c r="G79" s="205"/>
    </row>
    <row r="80" spans="1:7" ht="12" customHeight="1" x14ac:dyDescent="0.25">
      <c r="A80" s="232" t="s">
        <v>81</v>
      </c>
      <c r="B80" s="203"/>
      <c r="C80" s="204"/>
      <c r="D80" s="204"/>
      <c r="E80" s="231"/>
      <c r="F80" s="205"/>
      <c r="G80" s="205"/>
    </row>
    <row r="81" spans="1:9" ht="12" customHeight="1" x14ac:dyDescent="0.25">
      <c r="A81" s="155"/>
      <c r="B81" s="192" t="s">
        <v>34</v>
      </c>
      <c r="C81" s="193"/>
      <c r="D81" s="194"/>
      <c r="E81" s="194"/>
      <c r="F81" s="195"/>
      <c r="G81" s="195"/>
    </row>
    <row r="82" spans="1:9" ht="24" customHeight="1" x14ac:dyDescent="0.25">
      <c r="A82" s="155"/>
      <c r="B82" s="206" t="s">
        <v>35</v>
      </c>
      <c r="C82" s="207" t="s">
        <v>27</v>
      </c>
      <c r="D82" s="207" t="s">
        <v>28</v>
      </c>
      <c r="E82" s="206" t="s">
        <v>16</v>
      </c>
      <c r="F82" s="207" t="s">
        <v>17</v>
      </c>
      <c r="G82" s="206" t="s">
        <v>18</v>
      </c>
    </row>
    <row r="83" spans="1:9" ht="12.75" customHeight="1" x14ac:dyDescent="0.25">
      <c r="A83" s="174"/>
      <c r="B83" s="182"/>
      <c r="C83" s="215"/>
      <c r="D83" s="213"/>
      <c r="E83" s="183"/>
      <c r="F83" s="233"/>
      <c r="G83" s="213"/>
    </row>
    <row r="84" spans="1:9" ht="12.75" customHeight="1" x14ac:dyDescent="0.25">
      <c r="A84" s="174"/>
      <c r="B84" s="182"/>
      <c r="C84" s="215"/>
      <c r="D84" s="213"/>
      <c r="E84" s="183"/>
      <c r="F84" s="233"/>
      <c r="G84" s="213"/>
    </row>
    <row r="85" spans="1:9" ht="12.75" customHeight="1" x14ac:dyDescent="0.25">
      <c r="A85" s="174"/>
      <c r="B85" s="182"/>
      <c r="C85" s="215"/>
      <c r="D85" s="213"/>
      <c r="E85" s="183"/>
      <c r="F85" s="233"/>
      <c r="G85" s="213"/>
    </row>
    <row r="86" spans="1:9" ht="13.5" customHeight="1" x14ac:dyDescent="0.25">
      <c r="A86" s="155"/>
      <c r="B86" s="234" t="s">
        <v>36</v>
      </c>
      <c r="C86" s="235"/>
      <c r="D86" s="235"/>
      <c r="E86" s="235"/>
      <c r="F86" s="236"/>
      <c r="G86" s="237">
        <f>SUM(G85)</f>
        <v>0</v>
      </c>
    </row>
    <row r="87" spans="1:9" ht="12" customHeight="1" x14ac:dyDescent="0.25">
      <c r="A87" s="150"/>
      <c r="B87" s="238"/>
      <c r="C87" s="238"/>
      <c r="D87" s="238"/>
      <c r="E87" s="238"/>
      <c r="F87" s="239"/>
      <c r="G87" s="239"/>
    </row>
    <row r="88" spans="1:9" ht="12" customHeight="1" x14ac:dyDescent="0.25">
      <c r="A88" s="240"/>
      <c r="B88" s="241" t="s">
        <v>37</v>
      </c>
      <c r="C88" s="242"/>
      <c r="D88" s="242"/>
      <c r="E88" s="242"/>
      <c r="F88" s="242"/>
      <c r="G88" s="243">
        <f>G30+G41+G78+G86</f>
        <v>10873059.4</v>
      </c>
    </row>
    <row r="89" spans="1:9" ht="12" customHeight="1" x14ac:dyDescent="0.25">
      <c r="A89" s="240"/>
      <c r="B89" s="244" t="s">
        <v>38</v>
      </c>
      <c r="C89" s="245"/>
      <c r="D89" s="245"/>
      <c r="E89" s="245"/>
      <c r="F89" s="245"/>
      <c r="G89" s="246">
        <f>G88*0.05</f>
        <v>543652.97000000009</v>
      </c>
    </row>
    <row r="90" spans="1:9" ht="12" customHeight="1" x14ac:dyDescent="0.25">
      <c r="A90" s="240"/>
      <c r="B90" s="247" t="s">
        <v>39</v>
      </c>
      <c r="C90" s="248"/>
      <c r="D90" s="248"/>
      <c r="E90" s="248"/>
      <c r="F90" s="248"/>
      <c r="G90" s="249">
        <f>G89+G88</f>
        <v>11416712.370000001</v>
      </c>
    </row>
    <row r="91" spans="1:9" ht="12" customHeight="1" x14ac:dyDescent="0.25">
      <c r="A91" s="240"/>
      <c r="B91" s="244" t="s">
        <v>40</v>
      </c>
      <c r="C91" s="245"/>
      <c r="D91" s="245"/>
      <c r="E91" s="245"/>
      <c r="F91" s="245"/>
      <c r="G91" s="246">
        <f>G12</f>
        <v>21000000</v>
      </c>
    </row>
    <row r="92" spans="1:9" ht="12" customHeight="1" x14ac:dyDescent="0.25">
      <c r="A92" s="240"/>
      <c r="B92" s="250" t="s">
        <v>41</v>
      </c>
      <c r="C92" s="251"/>
      <c r="D92" s="251"/>
      <c r="E92" s="251"/>
      <c r="F92" s="251"/>
      <c r="G92" s="252">
        <f>G91-G90</f>
        <v>9583287.629999999</v>
      </c>
      <c r="I92" s="253"/>
    </row>
    <row r="93" spans="1:9" ht="12" customHeight="1" x14ac:dyDescent="0.25">
      <c r="A93" s="240"/>
      <c r="B93" s="254" t="s">
        <v>142</v>
      </c>
      <c r="C93" s="255"/>
      <c r="D93" s="255"/>
      <c r="E93" s="255"/>
      <c r="F93" s="255"/>
      <c r="G93" s="256">
        <f ca="1">+G92:G93/12</f>
        <v>0</v>
      </c>
    </row>
    <row r="94" spans="1:9" ht="12.75" customHeight="1" thickBot="1" x14ac:dyDescent="0.3">
      <c r="A94" s="240"/>
      <c r="B94" s="257"/>
      <c r="C94" s="255"/>
      <c r="D94" s="255"/>
      <c r="E94" s="255"/>
      <c r="F94" s="255"/>
      <c r="G94" s="256"/>
    </row>
    <row r="95" spans="1:9" ht="12" customHeight="1" x14ac:dyDescent="0.25">
      <c r="A95" s="240"/>
      <c r="B95" s="258" t="s">
        <v>143</v>
      </c>
      <c r="C95" s="259"/>
      <c r="D95" s="259"/>
      <c r="E95" s="259"/>
      <c r="F95" s="260"/>
      <c r="G95" s="256"/>
    </row>
    <row r="96" spans="1:9" ht="12" customHeight="1" x14ac:dyDescent="0.25">
      <c r="A96" s="240"/>
      <c r="B96" s="261" t="s">
        <v>44</v>
      </c>
      <c r="C96" s="262"/>
      <c r="D96" s="262"/>
      <c r="E96" s="262"/>
      <c r="F96" s="263"/>
      <c r="G96" s="256"/>
    </row>
    <row r="97" spans="1:7" ht="12" customHeight="1" x14ac:dyDescent="0.25">
      <c r="A97" s="240"/>
      <c r="B97" s="261" t="s">
        <v>45</v>
      </c>
      <c r="C97" s="262"/>
      <c r="D97" s="262"/>
      <c r="E97" s="262"/>
      <c r="F97" s="263"/>
      <c r="G97" s="256"/>
    </row>
    <row r="98" spans="1:7" ht="12" customHeight="1" x14ac:dyDescent="0.25">
      <c r="A98" s="240"/>
      <c r="B98" s="261" t="s">
        <v>46</v>
      </c>
      <c r="C98" s="262"/>
      <c r="D98" s="262"/>
      <c r="E98" s="262"/>
      <c r="F98" s="263"/>
      <c r="G98" s="256"/>
    </row>
    <row r="99" spans="1:7" ht="12" customHeight="1" x14ac:dyDescent="0.25">
      <c r="A99" s="240"/>
      <c r="B99" s="261" t="s">
        <v>47</v>
      </c>
      <c r="C99" s="262"/>
      <c r="D99" s="262"/>
      <c r="E99" s="262"/>
      <c r="F99" s="263"/>
      <c r="G99" s="256"/>
    </row>
    <row r="100" spans="1:7" ht="12" customHeight="1" x14ac:dyDescent="0.25">
      <c r="A100" s="240"/>
      <c r="B100" s="261" t="s">
        <v>48</v>
      </c>
      <c r="C100" s="262"/>
      <c r="D100" s="262"/>
      <c r="E100" s="262"/>
      <c r="F100" s="263"/>
      <c r="G100" s="256"/>
    </row>
    <row r="101" spans="1:7" ht="12.75" customHeight="1" thickBot="1" x14ac:dyDescent="0.3">
      <c r="A101" s="240"/>
      <c r="B101" s="264" t="s">
        <v>49</v>
      </c>
      <c r="C101" s="265"/>
      <c r="D101" s="265"/>
      <c r="E101" s="265"/>
      <c r="F101" s="266"/>
      <c r="G101" s="256"/>
    </row>
    <row r="102" spans="1:7" ht="12.75" customHeight="1" x14ac:dyDescent="0.25">
      <c r="A102" s="240"/>
      <c r="B102" s="267"/>
      <c r="C102" s="262"/>
      <c r="D102" s="262"/>
      <c r="E102" s="262"/>
      <c r="F102" s="262"/>
      <c r="G102" s="256"/>
    </row>
    <row r="103" spans="1:7" ht="15" customHeight="1" thickBot="1" x14ac:dyDescent="0.3">
      <c r="A103" s="240"/>
      <c r="B103" s="315" t="s">
        <v>50</v>
      </c>
      <c r="C103" s="316"/>
      <c r="D103" s="268"/>
      <c r="E103" s="269"/>
      <c r="F103" s="269"/>
      <c r="G103" s="256"/>
    </row>
    <row r="104" spans="1:7" ht="12" customHeight="1" x14ac:dyDescent="0.25">
      <c r="A104" s="240"/>
      <c r="B104" s="295" t="s">
        <v>35</v>
      </c>
      <c r="C104" s="296" t="s">
        <v>51</v>
      </c>
      <c r="D104" s="297" t="s">
        <v>52</v>
      </c>
      <c r="E104" s="269"/>
      <c r="F104" s="269"/>
      <c r="G104" s="256"/>
    </row>
    <row r="105" spans="1:7" ht="12" customHeight="1" x14ac:dyDescent="0.25">
      <c r="A105" s="240"/>
      <c r="B105" s="298" t="s">
        <v>53</v>
      </c>
      <c r="C105" s="299">
        <f>+G30</f>
        <v>3125000</v>
      </c>
      <c r="D105" s="300">
        <f>(C105/C111)</f>
        <v>0.27372153197199273</v>
      </c>
      <c r="E105" s="269"/>
      <c r="F105" s="269"/>
      <c r="G105" s="256"/>
    </row>
    <row r="106" spans="1:7" ht="12" customHeight="1" x14ac:dyDescent="0.25">
      <c r="A106" s="240"/>
      <c r="B106" s="298" t="s">
        <v>54</v>
      </c>
      <c r="C106" s="301">
        <f>+G35</f>
        <v>0</v>
      </c>
      <c r="D106" s="300">
        <v>0</v>
      </c>
      <c r="E106" s="269"/>
      <c r="F106" s="269"/>
      <c r="G106" s="256"/>
    </row>
    <row r="107" spans="1:7" ht="12" customHeight="1" x14ac:dyDescent="0.25">
      <c r="A107" s="240"/>
      <c r="B107" s="298" t="s">
        <v>55</v>
      </c>
      <c r="C107" s="299">
        <f>+G41</f>
        <v>218750</v>
      </c>
      <c r="D107" s="300">
        <f>(C107/C111)</f>
        <v>1.9160507238039491E-2</v>
      </c>
      <c r="E107" s="269"/>
      <c r="F107" s="269"/>
      <c r="G107" s="256"/>
    </row>
    <row r="108" spans="1:7" ht="12" customHeight="1" x14ac:dyDescent="0.25">
      <c r="A108" s="240"/>
      <c r="B108" s="298" t="s">
        <v>26</v>
      </c>
      <c r="C108" s="299">
        <f>+G78</f>
        <v>7529309.4000000004</v>
      </c>
      <c r="D108" s="300">
        <f>(C108/C111)</f>
        <v>0.65949891317092013</v>
      </c>
      <c r="E108" s="269"/>
      <c r="F108" s="269"/>
      <c r="G108" s="256"/>
    </row>
    <row r="109" spans="1:7" ht="12" customHeight="1" x14ac:dyDescent="0.25">
      <c r="A109" s="240"/>
      <c r="B109" s="298" t="s">
        <v>56</v>
      </c>
      <c r="C109" s="302">
        <f>+G86</f>
        <v>0</v>
      </c>
      <c r="D109" s="300">
        <f>(C109/C111)</f>
        <v>0</v>
      </c>
      <c r="E109" s="270"/>
      <c r="F109" s="270"/>
      <c r="G109" s="256"/>
    </row>
    <row r="110" spans="1:7" ht="12" customHeight="1" x14ac:dyDescent="0.25">
      <c r="A110" s="240"/>
      <c r="B110" s="298" t="s">
        <v>57</v>
      </c>
      <c r="C110" s="302">
        <f>+G89</f>
        <v>543652.97000000009</v>
      </c>
      <c r="D110" s="300">
        <f>(C110/C111)</f>
        <v>4.7619047619047623E-2</v>
      </c>
      <c r="E110" s="270"/>
      <c r="F110" s="270"/>
      <c r="G110" s="256"/>
    </row>
    <row r="111" spans="1:7" ht="12.75" customHeight="1" thickBot="1" x14ac:dyDescent="0.3">
      <c r="A111" s="240"/>
      <c r="B111" s="271" t="s">
        <v>58</v>
      </c>
      <c r="C111" s="272">
        <f>SUM(C105:C110)</f>
        <v>11416712.370000001</v>
      </c>
      <c r="D111" s="273">
        <f>SUM(D105:D110)</f>
        <v>1</v>
      </c>
      <c r="E111" s="270"/>
      <c r="F111" s="270"/>
      <c r="G111" s="256"/>
    </row>
    <row r="112" spans="1:7" ht="12" customHeight="1" x14ac:dyDescent="0.25">
      <c r="A112" s="240"/>
      <c r="B112" s="257"/>
      <c r="C112" s="255"/>
      <c r="D112" s="255"/>
      <c r="E112" s="255"/>
      <c r="F112" s="255"/>
      <c r="G112" s="256"/>
    </row>
    <row r="113" spans="1:7" ht="12.75" customHeight="1" x14ac:dyDescent="0.25">
      <c r="A113" s="240"/>
      <c r="B113" s="274"/>
      <c r="C113" s="255"/>
      <c r="D113" s="255"/>
      <c r="E113" s="255"/>
      <c r="F113" s="255"/>
      <c r="G113" s="256"/>
    </row>
    <row r="114" spans="1:7" ht="12" customHeight="1" thickBot="1" x14ac:dyDescent="0.3">
      <c r="A114" s="275"/>
      <c r="B114" s="276"/>
      <c r="C114" s="277" t="s">
        <v>137</v>
      </c>
      <c r="D114" s="278"/>
      <c r="E114" s="279"/>
      <c r="F114" s="280"/>
      <c r="G114" s="256"/>
    </row>
    <row r="115" spans="1:7" ht="12" customHeight="1" thickBot="1" x14ac:dyDescent="0.3">
      <c r="A115" s="240"/>
      <c r="B115" s="291" t="s">
        <v>123</v>
      </c>
      <c r="C115" s="292">
        <f>400*5</f>
        <v>2000</v>
      </c>
      <c r="D115" s="292">
        <f>600*5</f>
        <v>3000</v>
      </c>
      <c r="E115" s="292">
        <f>700*5</f>
        <v>3500</v>
      </c>
      <c r="F115" s="281"/>
      <c r="G115" s="282"/>
    </row>
    <row r="116" spans="1:7" ht="12.75" customHeight="1" thickBot="1" x14ac:dyDescent="0.3">
      <c r="A116" s="240"/>
      <c r="B116" s="293" t="s">
        <v>124</v>
      </c>
      <c r="C116" s="294">
        <f>+C111/C115</f>
        <v>5708.3561850000006</v>
      </c>
      <c r="D116" s="294">
        <f>+C111/D115</f>
        <v>3805.5707900000002</v>
      </c>
      <c r="E116" s="292">
        <f>+C111/E115</f>
        <v>3261.9178200000001</v>
      </c>
      <c r="F116" s="281"/>
      <c r="G116" s="282"/>
    </row>
    <row r="117" spans="1:7" ht="15.6" customHeight="1" x14ac:dyDescent="0.25">
      <c r="A117" s="240"/>
      <c r="B117" s="283" t="s">
        <v>59</v>
      </c>
      <c r="C117" s="262"/>
      <c r="D117" s="262"/>
      <c r="E117" s="262"/>
      <c r="F117" s="262"/>
      <c r="G117" s="262"/>
    </row>
  </sheetData>
  <mergeCells count="8">
    <mergeCell ref="B17:G17"/>
    <mergeCell ref="B103:C103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A80B7B2-D4C1-44DD-80BC-056D6B058E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A375FD-8AF5-449F-BDF1-0EF789AA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C1136B-6D49-45D3-A056-CA925AC665D0}">
  <ds:schemaRefs>
    <ds:schemaRef ds:uri="c5dbce2d-49dc-4afe-a5b0-d7fb7a901161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1030f0af-99cb-42f1-88fc-acec73331192"/>
    <ds:schemaRef ds:uri="http://schemas.openxmlformats.org/package/2006/metadata/core-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LISIANTHUS</vt:lpstr>
      <vt:lpstr>Lisianthus Invernadero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2023-05-03T14:30:53Z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