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rioseco\Desktop\DAF\Fichas Técnicas\FICHAS TECNICAS\FICHAS TECNICAS 2023\REGION VALPARISO\LIMACHE\"/>
    </mc:Choice>
  </mc:AlternateContent>
  <bookViews>
    <workbookView xWindow="0" yWindow="0" windowWidth="28800" windowHeight="11475"/>
  </bookViews>
  <sheets>
    <sheet name="LISIANTHUS" sheetId="1" r:id="rId1"/>
    <sheet name="Al 22.06.22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D71" i="1" l="1"/>
  <c r="C123" i="1"/>
  <c r="G84" i="1"/>
  <c r="F83" i="1"/>
  <c r="D83" i="1"/>
  <c r="G82" i="1"/>
  <c r="D81" i="1"/>
  <c r="G81" i="1" s="1"/>
  <c r="G80" i="1"/>
  <c r="D79" i="1"/>
  <c r="G79" i="1" s="1"/>
  <c r="G78" i="1"/>
  <c r="F76" i="1"/>
  <c r="G75" i="1"/>
  <c r="F75" i="1"/>
  <c r="F74" i="1"/>
  <c r="F71" i="1"/>
  <c r="F70" i="1"/>
  <c r="F69" i="1"/>
  <c r="F67" i="1"/>
  <c r="F64" i="1"/>
  <c r="F61" i="1"/>
  <c r="F58" i="1"/>
  <c r="D51" i="1"/>
  <c r="D32" i="1"/>
  <c r="G32" i="1" s="1"/>
  <c r="D31" i="1"/>
  <c r="G31" i="1" s="1"/>
  <c r="D30" i="1"/>
  <c r="G30" i="1" s="1"/>
  <c r="D29" i="1"/>
  <c r="G29" i="1" s="1"/>
  <c r="D28" i="1"/>
  <c r="G28" i="1" s="1"/>
  <c r="G83" i="1" l="1"/>
  <c r="F46" i="2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F54" i="2"/>
  <c r="F55" i="2"/>
  <c r="G55" i="2" s="1"/>
  <c r="F56" i="2"/>
  <c r="G56" i="2" s="1"/>
  <c r="F57" i="2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F66" i="2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F75" i="2"/>
  <c r="F45" i="2"/>
  <c r="E114" i="2"/>
  <c r="D114" i="2"/>
  <c r="C114" i="2"/>
  <c r="C105" i="2"/>
  <c r="G85" i="2"/>
  <c r="C108" i="2" s="1"/>
  <c r="G75" i="2"/>
  <c r="D74" i="2"/>
  <c r="D65" i="2"/>
  <c r="D45" i="2"/>
  <c r="G39" i="2"/>
  <c r="G41" i="2" s="1"/>
  <c r="C106" i="2" s="1"/>
  <c r="D28" i="2"/>
  <c r="G28" i="2" s="1"/>
  <c r="G27" i="2"/>
  <c r="G26" i="2"/>
  <c r="D26" i="2"/>
  <c r="G25" i="2"/>
  <c r="G24" i="2"/>
  <c r="G22" i="2"/>
  <c r="D21" i="2"/>
  <c r="G21" i="2" s="1"/>
  <c r="G9" i="2"/>
  <c r="G12" i="2" s="1"/>
  <c r="G90" i="2" s="1"/>
  <c r="G30" i="2" l="1"/>
  <c r="G45" i="2"/>
  <c r="G65" i="2"/>
  <c r="G74" i="2"/>
  <c r="C104" i="2"/>
  <c r="G77" i="2"/>
  <c r="C107" i="2" s="1"/>
  <c r="E123" i="1"/>
  <c r="G9" i="1" s="1"/>
  <c r="G12" i="1" s="1"/>
  <c r="D123" i="1"/>
  <c r="G87" i="2" l="1"/>
  <c r="G88" i="2" s="1"/>
  <c r="G73" i="1"/>
  <c r="G89" i="2" l="1"/>
  <c r="G91" i="2" s="1"/>
  <c r="C109" i="2"/>
  <c r="G71" i="1"/>
  <c r="F76" i="2"/>
  <c r="G76" i="2" s="1"/>
  <c r="G70" i="1"/>
  <c r="G67" i="1"/>
  <c r="G45" i="1"/>
  <c r="D21" i="1"/>
  <c r="C110" i="2" l="1"/>
  <c r="G76" i="1"/>
  <c r="G58" i="1"/>
  <c r="G69" i="1"/>
  <c r="G74" i="1"/>
  <c r="G77" i="1"/>
  <c r="G68" i="1"/>
  <c r="C115" i="2" l="1"/>
  <c r="E115" i="2"/>
  <c r="D115" i="2"/>
  <c r="D106" i="2"/>
  <c r="D108" i="2"/>
  <c r="D104" i="2"/>
  <c r="D107" i="2"/>
  <c r="D109" i="2"/>
  <c r="D110" i="2" l="1"/>
  <c r="C114" i="1"/>
  <c r="G66" i="1"/>
  <c r="G65" i="1"/>
  <c r="G64" i="1"/>
  <c r="G25" i="1"/>
  <c r="G22" i="1"/>
  <c r="G62" i="1"/>
  <c r="G61" i="1"/>
  <c r="G57" i="1"/>
  <c r="G54" i="1"/>
  <c r="G53" i="1"/>
  <c r="G51" i="1"/>
  <c r="G26" i="1"/>
  <c r="G21" i="1"/>
  <c r="G27" i="1" l="1"/>
  <c r="G36" i="1" s="1"/>
  <c r="G24" i="1"/>
  <c r="G94" i="1"/>
  <c r="C117" i="1" s="1"/>
  <c r="G56" i="1"/>
  <c r="G55" i="1"/>
  <c r="G86" i="1" s="1"/>
  <c r="G99" i="1"/>
  <c r="C116" i="1" l="1"/>
  <c r="G47" i="1"/>
  <c r="C115" i="1" s="1"/>
  <c r="C113" i="1" l="1"/>
  <c r="G96" i="1"/>
  <c r="G97" i="1" s="1"/>
  <c r="G98" i="1" l="1"/>
  <c r="G100" i="1" s="1"/>
  <c r="C118" i="1"/>
  <c r="C119" i="1" l="1"/>
  <c r="D118" i="1" s="1"/>
  <c r="D116" i="1" l="1"/>
  <c r="D124" i="1"/>
  <c r="D113" i="1"/>
  <c r="D117" i="1"/>
  <c r="C124" i="1"/>
  <c r="E124" i="1"/>
  <c r="D115" i="1"/>
  <c r="D119" i="1" l="1"/>
  <c r="G101" i="1"/>
  <c r="G92" i="2"/>
</calcChain>
</file>

<file path=xl/sharedStrings.xml><?xml version="1.0" encoding="utf-8"?>
<sst xmlns="http://schemas.openxmlformats.org/spreadsheetml/2006/main" count="426" uniqueCount="164">
  <si>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</si>
  <si>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</si>
  <si>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</si>
  <si>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</si>
  <si>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</si>
  <si>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</si>
  <si>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</si>
  <si>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</si>
  <si>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</si>
  <si>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</si>
  <si>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</si>
  <si>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</si>
  <si>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</si>
  <si>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</si>
  <si>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</si>
  <si>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</si>
  <si>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</si>
  <si>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</si>
  <si>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</si>
  <si>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</si>
  <si>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</si>
  <si>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</si>
  <si>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</si>
  <si>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</si>
  <si>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</si>
  <si>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</si>
  <si>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</si>
  <si>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</si>
  <si>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</si>
  <si>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</si>
  <si>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</si>
  <si>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kg</t>
  </si>
  <si>
    <t>HERBICIDAS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</si>
  <si>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</si>
  <si>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</si>
  <si>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</si>
  <si>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</si>
  <si>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</si>
  <si>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</si>
  <si>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</si>
  <si>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</si>
  <si>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</si>
  <si>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</si>
  <si>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</si>
  <si>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</si>
  <si>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</si>
  <si>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</si>
  <si>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</si>
  <si>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</si>
  <si>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</si>
  <si>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</si>
  <si>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</si>
  <si>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</si>
  <si>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</si>
  <si>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</si>
  <si>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</si>
  <si>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</si>
  <si>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</si>
  <si>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</si>
  <si>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</si>
  <si>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Todas la comunas del Área</t>
  </si>
  <si>
    <t>VALPARAISO</t>
  </si>
  <si>
    <t>TODO EL AÑO</t>
  </si>
  <si>
    <t>Plantación</t>
  </si>
  <si>
    <t xml:space="preserve">Desinfecciones </t>
  </si>
  <si>
    <t>Cosecha</t>
  </si>
  <si>
    <t>Pinzado</t>
  </si>
  <si>
    <t>Preparación de suelo</t>
  </si>
  <si>
    <t>todo el año</t>
  </si>
  <si>
    <t>un</t>
  </si>
  <si>
    <t>Nitrato Potasio</t>
  </si>
  <si>
    <t xml:space="preserve">Nitrato de amonio </t>
  </si>
  <si>
    <t>Nitrato de magnesio</t>
  </si>
  <si>
    <t>Fosfato Monopotasico</t>
  </si>
  <si>
    <t>Nitrato de calcio</t>
  </si>
  <si>
    <t>Oxifluirfen</t>
  </si>
  <si>
    <t>l</t>
  </si>
  <si>
    <t>Paraquat</t>
  </si>
  <si>
    <t>L</t>
  </si>
  <si>
    <t>Abamectina</t>
  </si>
  <si>
    <t>Protectores aplicacdores</t>
  </si>
  <si>
    <t>z</t>
  </si>
  <si>
    <t>Labores de mantencion y limpieza</t>
  </si>
  <si>
    <t>Reposicion polietileno (50 % superficie)</t>
  </si>
  <si>
    <t>Maderas reposicion</t>
  </si>
  <si>
    <t>marzo-abril</t>
  </si>
  <si>
    <t>paq 50 un</t>
  </si>
  <si>
    <t>Tiametoxam + lanbda cihaotrina</t>
  </si>
  <si>
    <t>1 l</t>
  </si>
  <si>
    <t>Lambda cihalotrina</t>
  </si>
  <si>
    <t>1/4 L</t>
  </si>
  <si>
    <t>FUNGICDAS E INSECTICIDAS</t>
  </si>
  <si>
    <t>mes</t>
  </si>
  <si>
    <t>set</t>
  </si>
  <si>
    <t>Repocision cintas de riego</t>
  </si>
  <si>
    <t>m</t>
  </si>
  <si>
    <t>COSTOS DIRECTOS DE PRODUCCIÓN 1050 M2 (5 INV)  (INCLUYE IVA)</t>
  </si>
  <si>
    <t>Preparacion cama e instalación de cintas</t>
  </si>
  <si>
    <t>Diciembre</t>
  </si>
  <si>
    <t>Todo el año</t>
  </si>
  <si>
    <t>noviembre</t>
  </si>
  <si>
    <t>Electricidad riego</t>
  </si>
  <si>
    <t>Repocision malla tutora</t>
  </si>
  <si>
    <t>rollo 420</t>
  </si>
  <si>
    <t>Propamocarb</t>
  </si>
  <si>
    <t>Bioestimulantes foliares (genérico)</t>
  </si>
  <si>
    <t>Extractos algas (genérico)</t>
  </si>
  <si>
    <t>Estimulantes radiculares</t>
  </si>
  <si>
    <t>Carbendazima</t>
  </si>
  <si>
    <t>Microelementos /fetrilon combi</t>
  </si>
  <si>
    <t>2 kg</t>
  </si>
  <si>
    <t>rollo 100 m</t>
  </si>
  <si>
    <t>Polietileno reparacion 50 %  del total</t>
  </si>
  <si>
    <t>LISIANTHUS</t>
  </si>
  <si>
    <t>PRECIO ESPERADO ($/RAMO)</t>
  </si>
  <si>
    <t>Alto</t>
  </si>
  <si>
    <t>enero</t>
  </si>
  <si>
    <t>Sin pinzado</t>
  </si>
  <si>
    <t>diciembre</t>
  </si>
  <si>
    <t>Ciprodinilo + fludioxonilo</t>
  </si>
  <si>
    <t>1 kg</t>
  </si>
  <si>
    <t>mayo-agosto</t>
  </si>
  <si>
    <t>Iprodinoe</t>
  </si>
  <si>
    <t>Rendimiento (ramos/año x 5 inv)</t>
  </si>
  <si>
    <t>Costo unitario ($/ramo)</t>
  </si>
  <si>
    <t>Diversas</t>
  </si>
  <si>
    <t>RENDIMIENTO Ramos/ 1050 m2</t>
  </si>
  <si>
    <t>MERCADO INTERNO</t>
  </si>
  <si>
    <t xml:space="preserve">Entutorado </t>
  </si>
  <si>
    <t>Marzo</t>
  </si>
  <si>
    <t>ab- ag; nov- dic</t>
  </si>
  <si>
    <t>Compost</t>
  </si>
  <si>
    <t>m3</t>
  </si>
  <si>
    <t>Metan Sodio</t>
  </si>
  <si>
    <t>20 l</t>
  </si>
  <si>
    <t>LA CALERA</t>
  </si>
  <si>
    <t>Ab-Mayo; Nov-Dic</t>
  </si>
  <si>
    <t>ESCENARIOS COSTO UNITARIO  ($/Ramo)</t>
  </si>
  <si>
    <t xml:space="preserve">Plantin </t>
  </si>
  <si>
    <t>JM</t>
  </si>
  <si>
    <t>Reposicion polietileno Techo (50 % superficie)</t>
  </si>
  <si>
    <t>Reposicion polietileno cortinas (30 % superficie)</t>
  </si>
  <si>
    <t>Reposicion Polietileno Canoas</t>
  </si>
  <si>
    <t>Postulada de malllas sombra</t>
  </si>
  <si>
    <t>Noviembre</t>
  </si>
  <si>
    <t>Retiro de malla sombra</t>
  </si>
  <si>
    <t>Paraquat (N° SAG 3474)</t>
  </si>
  <si>
    <t>Litro</t>
  </si>
  <si>
    <t>Humic Root</t>
  </si>
  <si>
    <t>Kendal</t>
  </si>
  <si>
    <t>10 litros</t>
  </si>
  <si>
    <t>1 litro</t>
  </si>
  <si>
    <t>Basfoliar Algae</t>
  </si>
  <si>
    <t>5 litros</t>
  </si>
  <si>
    <t>Stimplex</t>
  </si>
  <si>
    <t>Set</t>
  </si>
  <si>
    <t>Reparacion Polietileno Techos (50%)</t>
  </si>
  <si>
    <t>m2</t>
  </si>
  <si>
    <t>Reparacion Polietileno Cortinas y botaperros (30%)</t>
  </si>
  <si>
    <t>Reparacion Polietileno Canaletas (50%)</t>
  </si>
  <si>
    <t>Maderas reposicion (charlata-clavos)</t>
  </si>
  <si>
    <t>Repocision cintas de riego (50%)</t>
  </si>
  <si>
    <t>ml</t>
  </si>
  <si>
    <t>LIMACHE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</si>
</sst>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&quot;$&quot;* #,##0_ ;_ &quot;$&quot;* \-#,##0_ ;_ &quot;$&quot;* &quot;-&quot;_ ;_ @_ "/>
    <numFmt numFmtId="165" formatCode="_ * #,##0_ ;_ * \-#,##0_ ;_ * &quot;-&quot;_ ;_ @_ "/>
    <numFmt numFmtId="166" formatCode="&quot; &quot;* #,##0.00&quot; &quot;;&quot;-&quot;* #,##0.00&quot; &quot;;&quot; &quot;* &quot;-&quot;??&quot; &quot;"/>
    <numFmt numFmtId="167" formatCode="#,##0.0"/>
    <numFmt numFmtId="168" formatCode="&quot; &quot;* #,##0&quot;   &quot;;&quot;-&quot;* #,##0&quot;   &quot;;&quot; &quot;* &quot;-&quot;??&quot;   &quot;"/>
    <numFmt numFmtId="169" formatCode="&quot; &quot;* #,##0&quot; &quot;;&quot; &quot;* &quot;-&quot;#,##0&quot; &quot;;&quot; &quot;* &quot;- &quot;"/>
  </numFmts>
  <fonts count="23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 applyNumberFormat="0" applyFill="0" applyBorder="0" applyProtection="0"/>
    <xf numFmtId="165" fontId="19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167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/>
    <xf numFmtId="3" fontId="2" fillId="2" borderId="6" xfId="0" applyNumberFormat="1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/>
    <xf numFmtId="3" fontId="4" fillId="2" borderId="6" xfId="0" applyNumberFormat="1" applyFont="1" applyFill="1" applyBorder="1" applyAlignment="1"/>
    <xf numFmtId="49" fontId="8" fillId="2" borderId="6" xfId="0" applyNumberFormat="1" applyFont="1" applyFill="1" applyBorder="1" applyAlignment="1"/>
    <xf numFmtId="0" fontId="4" fillId="2" borderId="6" xfId="0" applyFont="1" applyFill="1" applyBorder="1" applyAlignment="1">
      <alignment horizontal="center"/>
    </xf>
    <xf numFmtId="49" fontId="4" fillId="2" borderId="19" xfId="0" applyNumberFormat="1" applyFont="1" applyFill="1" applyBorder="1" applyAlignment="1"/>
    <xf numFmtId="49" fontId="4" fillId="2" borderId="19" xfId="0" applyNumberFormat="1" applyFont="1" applyFill="1" applyBorder="1" applyAlignment="1">
      <alignment horizontal="center"/>
    </xf>
    <xf numFmtId="0" fontId="4" fillId="2" borderId="19" xfId="0" applyNumberFormat="1" applyFont="1" applyFill="1" applyBorder="1" applyAlignment="1"/>
    <xf numFmtId="3" fontId="4" fillId="2" borderId="19" xfId="0" applyNumberFormat="1" applyFont="1" applyFill="1" applyBorder="1" applyAlignment="1"/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7" fontId="4" fillId="2" borderId="6" xfId="0" applyNumberFormat="1" applyFont="1" applyFill="1" applyBorder="1" applyAlignment="1"/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1" xfId="0" applyFont="1" applyFill="1" applyBorder="1" applyAlignment="1"/>
    <xf numFmtId="0" fontId="15" fillId="7" borderId="23" xfId="0" applyFont="1" applyFill="1" applyBorder="1" applyAlignment="1"/>
    <xf numFmtId="49" fontId="13" fillId="8" borderId="24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0" fontId="13" fillId="2" borderId="6" xfId="0" applyNumberFormat="1" applyFont="1" applyFill="1" applyBorder="1" applyAlignment="1">
      <alignment vertical="center"/>
    </xf>
    <xf numFmtId="169" fontId="13" fillId="2" borderId="6" xfId="0" applyNumberFormat="1" applyFont="1" applyFill="1" applyBorder="1" applyAlignment="1">
      <alignment vertical="center"/>
    </xf>
    <xf numFmtId="0" fontId="10" fillId="7" borderId="22" xfId="0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168" fontId="1" fillId="2" borderId="23" xfId="0" applyNumberFormat="1" applyFont="1" applyFill="1" applyBorder="1" applyAlignment="1">
      <alignment vertical="center"/>
    </xf>
    <xf numFmtId="168" fontId="17" fillId="2" borderId="23" xfId="0" applyNumberFormat="1" applyFont="1" applyFill="1" applyBorder="1" applyAlignment="1">
      <alignment vertical="center"/>
    </xf>
    <xf numFmtId="0" fontId="15" fillId="2" borderId="23" xfId="0" applyFont="1" applyFill="1" applyBorder="1" applyAlignment="1"/>
    <xf numFmtId="0" fontId="0" fillId="2" borderId="25" xfId="0" applyFont="1" applyFill="1" applyBorder="1" applyAlignment="1"/>
    <xf numFmtId="49" fontId="0" fillId="2" borderId="23" xfId="0" applyNumberFormat="1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2" fillId="2" borderId="26" xfId="0" applyFont="1" applyFill="1" applyBorder="1" applyAlignment="1"/>
    <xf numFmtId="3" fontId="2" fillId="2" borderId="26" xfId="0" applyNumberFormat="1" applyFont="1" applyFill="1" applyBorder="1" applyAlignment="1"/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8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8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8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168" fontId="1" fillId="6" borderId="34" xfId="0" applyNumberFormat="1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49" fontId="13" fillId="8" borderId="35" xfId="0" applyNumberFormat="1" applyFont="1" applyFill="1" applyBorder="1" applyAlignment="1">
      <alignment vertical="center"/>
    </xf>
    <xf numFmtId="49" fontId="15" fillId="8" borderId="36" xfId="0" applyNumberFormat="1" applyFont="1" applyFill="1" applyBorder="1" applyAlignment="1"/>
    <xf numFmtId="49" fontId="13" fillId="2" borderId="37" xfId="0" applyNumberFormat="1" applyFont="1" applyFill="1" applyBorder="1" applyAlignment="1">
      <alignment vertical="center"/>
    </xf>
    <xf numFmtId="9" fontId="15" fillId="2" borderId="38" xfId="0" applyNumberFormat="1" applyFont="1" applyFill="1" applyBorder="1" applyAlignment="1"/>
    <xf numFmtId="49" fontId="13" fillId="8" borderId="39" xfId="0" applyNumberFormat="1" applyFont="1" applyFill="1" applyBorder="1" applyAlignment="1">
      <alignment vertical="center"/>
    </xf>
    <xf numFmtId="169" fontId="13" fillId="8" borderId="40" xfId="0" applyNumberFormat="1" applyFont="1" applyFill="1" applyBorder="1" applyAlignment="1">
      <alignment vertical="center"/>
    </xf>
    <xf numFmtId="9" fontId="13" fillId="8" borderId="41" xfId="0" applyNumberFormat="1" applyFont="1" applyFill="1" applyBorder="1" applyAlignment="1">
      <alignment vertical="center"/>
    </xf>
    <xf numFmtId="0" fontId="15" fillId="9" borderId="44" xfId="0" applyFont="1" applyFill="1" applyBorder="1" applyAlignment="1"/>
    <xf numFmtId="0" fontId="15" fillId="2" borderId="23" xfId="0" applyFont="1" applyFill="1" applyBorder="1" applyAlignment="1">
      <alignment vertical="center"/>
    </xf>
    <xf numFmtId="49" fontId="15" fillId="2" borderId="23" xfId="0" applyNumberFormat="1" applyFont="1" applyFill="1" applyBorder="1" applyAlignment="1">
      <alignment vertical="center"/>
    </xf>
    <xf numFmtId="49" fontId="13" fillId="2" borderId="45" xfId="0" applyNumberFormat="1" applyFont="1" applyFill="1" applyBorder="1" applyAlignment="1">
      <alignment vertical="center"/>
    </xf>
    <xf numFmtId="0" fontId="15" fillId="2" borderId="46" xfId="0" applyFont="1" applyFill="1" applyBorder="1" applyAlignment="1"/>
    <xf numFmtId="0" fontId="15" fillId="2" borderId="47" xfId="0" applyFont="1" applyFill="1" applyBorder="1" applyAlignment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 applyAlignment="1"/>
    <xf numFmtId="49" fontId="15" fillId="2" borderId="50" xfId="0" applyNumberFormat="1" applyFont="1" applyFill="1" applyBorder="1" applyAlignment="1">
      <alignment vertical="center"/>
    </xf>
    <xf numFmtId="0" fontId="15" fillId="2" borderId="51" xfId="0" applyFont="1" applyFill="1" applyBorder="1" applyAlignment="1"/>
    <xf numFmtId="0" fontId="15" fillId="2" borderId="52" xfId="0" applyFont="1" applyFill="1" applyBorder="1" applyAlignment="1"/>
    <xf numFmtId="0" fontId="13" fillId="7" borderId="23" xfId="0" applyFont="1" applyFill="1" applyBorder="1" applyAlignment="1">
      <alignment vertical="center"/>
    </xf>
    <xf numFmtId="0" fontId="10" fillId="9" borderId="22" xfId="0" applyFont="1" applyFill="1" applyBorder="1" applyAlignment="1">
      <alignment vertical="center"/>
    </xf>
    <xf numFmtId="49" fontId="18" fillId="9" borderId="23" xfId="0" applyNumberFormat="1" applyFont="1" applyFill="1" applyBorder="1" applyAlignment="1">
      <alignment vertical="center"/>
    </xf>
    <xf numFmtId="0" fontId="10" fillId="9" borderId="23" xfId="0" applyFont="1" applyFill="1" applyBorder="1" applyAlignment="1">
      <alignment vertical="center"/>
    </xf>
    <xf numFmtId="0" fontId="10" fillId="9" borderId="53" xfId="0" applyFont="1" applyFill="1" applyBorder="1" applyAlignment="1">
      <alignment vertical="center"/>
    </xf>
    <xf numFmtId="49" fontId="13" fillId="8" borderId="54" xfId="0" applyNumberFormat="1" applyFont="1" applyFill="1" applyBorder="1" applyAlignment="1">
      <alignment vertical="center"/>
    </xf>
    <xf numFmtId="0" fontId="0" fillId="0" borderId="23" xfId="0" applyNumberFormat="1" applyFont="1" applyBorder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4" fillId="2" borderId="6" xfId="0" applyNumberFormat="1" applyFont="1" applyFill="1" applyBorder="1" applyAlignment="1"/>
    <xf numFmtId="3" fontId="4" fillId="2" borderId="56" xfId="0" applyNumberFormat="1" applyFont="1" applyFill="1" applyBorder="1" applyAlignment="1"/>
    <xf numFmtId="0" fontId="20" fillId="2" borderId="1" xfId="0" applyFont="1" applyFill="1" applyBorder="1" applyAlignment="1"/>
    <xf numFmtId="49" fontId="4" fillId="2" borderId="6" xfId="0" applyNumberFormat="1" applyFont="1" applyFill="1" applyBorder="1" applyAlignment="1">
      <alignment horizontal="left"/>
    </xf>
    <xf numFmtId="49" fontId="4" fillId="2" borderId="56" xfId="0" applyNumberFormat="1" applyFont="1" applyFill="1" applyBorder="1" applyAlignment="1"/>
    <xf numFmtId="49" fontId="4" fillId="2" borderId="56" xfId="0" applyNumberFormat="1" applyFont="1" applyFill="1" applyBorder="1" applyAlignment="1">
      <alignment horizontal="center"/>
    </xf>
    <xf numFmtId="0" fontId="4" fillId="2" borderId="56" xfId="0" applyNumberFormat="1" applyFont="1" applyFill="1" applyBorder="1" applyAlignment="1"/>
    <xf numFmtId="165" fontId="13" fillId="8" borderId="55" xfId="1" applyFont="1" applyFill="1" applyBorder="1" applyAlignment="1">
      <alignment vertical="center"/>
    </xf>
    <xf numFmtId="165" fontId="4" fillId="2" borderId="6" xfId="1" applyFont="1" applyFill="1" applyBorder="1" applyAlignment="1"/>
    <xf numFmtId="3" fontId="0" fillId="0" borderId="0" xfId="0" applyNumberFormat="1" applyFont="1" applyAlignment="1"/>
    <xf numFmtId="49" fontId="2" fillId="2" borderId="6" xfId="0" applyNumberFormat="1" applyFont="1" applyFill="1" applyBorder="1" applyAlignment="1">
      <alignment horizontal="right" wrapText="1"/>
    </xf>
    <xf numFmtId="164" fontId="0" fillId="0" borderId="0" xfId="2" applyFont="1" applyAlignment="1"/>
    <xf numFmtId="3" fontId="4" fillId="10" borderId="6" xfId="0" applyNumberFormat="1" applyFont="1" applyFill="1" applyBorder="1" applyAlignment="1"/>
    <xf numFmtId="166" fontId="4" fillId="10" borderId="6" xfId="0" applyNumberFormat="1" applyFont="1" applyFill="1" applyBorder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/>
    <xf numFmtId="2" fontId="4" fillId="2" borderId="6" xfId="0" applyNumberFormat="1" applyFont="1" applyFill="1" applyBorder="1" applyAlignment="1">
      <alignment wrapText="1"/>
    </xf>
    <xf numFmtId="49" fontId="18" fillId="9" borderId="42" xfId="0" applyNumberFormat="1" applyFont="1" applyFill="1" applyBorder="1" applyAlignment="1">
      <alignment vertical="center"/>
    </xf>
    <xf numFmtId="0" fontId="13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2" fillId="0" borderId="0" xfId="0" applyNumberFormat="1" applyFont="1" applyAlignment="1"/>
  </cellXfs>
  <cellStyles count="3">
    <cellStyle name="Millares [0]" xfId="1" builtinId="6"/>
    <cellStyle name="Moneda [0]" xfId="2" builtinId="7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304800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6927</xdr:colOff>
      <xdr:row>7</xdr:row>
      <xdr:rowOff>77804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3964"/>
          <a:ext cx="6310745" cy="1241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25"/>
  <sheetViews>
    <sheetView showGridLines="0" tabSelected="1" zoomScale="110" zoomScaleNormal="110" workbookViewId="0">
      <selection activeCell="I8" sqref="I8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8" width="20.85546875" style="1" customWidth="1"/>
    <col min="9" max="9" width="11.85546875" style="1" bestFit="1" customWidth="1"/>
    <col min="10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/>
      <c r="C8" s="4"/>
      <c r="D8" s="2"/>
      <c r="E8" s="4"/>
      <c r="F8" s="4"/>
      <c r="G8" s="4"/>
    </row>
    <row r="9" spans="1:7" ht="12" customHeight="1" x14ac:dyDescent="0.25">
      <c r="A9" s="5"/>
      <c r="B9" s="6" t="s">
        <v>0</v>
      </c>
      <c r="C9" s="146" t="s">
        <v>113</v>
      </c>
      <c r="D9" s="7"/>
      <c r="E9" s="160" t="s">
        <v>126</v>
      </c>
      <c r="F9" s="161"/>
      <c r="G9" s="8">
        <f>+E123</f>
        <v>3500</v>
      </c>
    </row>
    <row r="10" spans="1:7" ht="15" x14ac:dyDescent="0.25">
      <c r="A10" s="5"/>
      <c r="B10" s="9" t="s">
        <v>1</v>
      </c>
      <c r="C10" s="10" t="s">
        <v>125</v>
      </c>
      <c r="D10" s="11"/>
      <c r="E10" s="158" t="s">
        <v>2</v>
      </c>
      <c r="F10" s="159"/>
      <c r="G10" s="13" t="s">
        <v>136</v>
      </c>
    </row>
    <row r="11" spans="1:7" ht="18" customHeight="1" x14ac:dyDescent="0.25">
      <c r="A11" s="5"/>
      <c r="B11" s="9" t="s">
        <v>3</v>
      </c>
      <c r="C11" s="13" t="s">
        <v>115</v>
      </c>
      <c r="D11" s="11"/>
      <c r="E11" s="158" t="s">
        <v>114</v>
      </c>
      <c r="F11" s="159"/>
      <c r="G11" s="149">
        <v>5500</v>
      </c>
    </row>
    <row r="12" spans="1:7" ht="15" x14ac:dyDescent="0.25">
      <c r="A12" s="5"/>
      <c r="B12" s="9" t="s">
        <v>4</v>
      </c>
      <c r="C12" s="14" t="s">
        <v>61</v>
      </c>
      <c r="D12" s="11"/>
      <c r="E12" s="15" t="s">
        <v>5</v>
      </c>
      <c r="F12" s="16"/>
      <c r="G12" s="17">
        <f>+G11*G9</f>
        <v>19250000</v>
      </c>
    </row>
    <row r="13" spans="1:7" ht="25.5" x14ac:dyDescent="0.25">
      <c r="A13" s="5"/>
      <c r="B13" s="9" t="s">
        <v>6</v>
      </c>
      <c r="C13" s="13" t="s">
        <v>163</v>
      </c>
      <c r="D13" s="11"/>
      <c r="E13" s="158" t="s">
        <v>7</v>
      </c>
      <c r="F13" s="159"/>
      <c r="G13" s="14" t="s">
        <v>127</v>
      </c>
    </row>
    <row r="14" spans="1:7" ht="15" x14ac:dyDescent="0.25">
      <c r="A14" s="5"/>
      <c r="B14" s="9" t="s">
        <v>8</v>
      </c>
      <c r="C14" s="13" t="s">
        <v>60</v>
      </c>
      <c r="D14" s="11"/>
      <c r="E14" s="158" t="s">
        <v>9</v>
      </c>
      <c r="F14" s="159"/>
      <c r="G14" s="13" t="s">
        <v>62</v>
      </c>
    </row>
    <row r="15" spans="1:7" ht="25.5" customHeight="1" x14ac:dyDescent="0.25">
      <c r="A15" s="5"/>
      <c r="B15" s="9" t="s">
        <v>10</v>
      </c>
      <c r="C15" s="18">
        <v>44986</v>
      </c>
      <c r="D15" s="11"/>
      <c r="E15" s="162" t="s">
        <v>11</v>
      </c>
      <c r="F15" s="163"/>
      <c r="G15" s="14"/>
    </row>
    <row r="16" spans="1:7" ht="12" customHeight="1" x14ac:dyDescent="0.25">
      <c r="A16" s="2"/>
      <c r="B16" s="19"/>
      <c r="C16" s="20"/>
      <c r="D16" s="21"/>
      <c r="E16" s="22"/>
      <c r="F16" s="22"/>
      <c r="G16" s="23"/>
    </row>
    <row r="17" spans="1:9" ht="12" customHeight="1" x14ac:dyDescent="0.25">
      <c r="A17" s="24"/>
      <c r="B17" s="164" t="s">
        <v>96</v>
      </c>
      <c r="C17" s="165"/>
      <c r="D17" s="165"/>
      <c r="E17" s="165"/>
      <c r="F17" s="165"/>
      <c r="G17" s="165"/>
    </row>
    <row r="18" spans="1:9" ht="12" customHeight="1" x14ac:dyDescent="0.25">
      <c r="A18" s="2"/>
      <c r="B18" s="25"/>
      <c r="C18" s="26"/>
      <c r="D18" s="26"/>
      <c r="E18" s="26"/>
      <c r="F18" s="27"/>
      <c r="G18" s="27"/>
    </row>
    <row r="19" spans="1:9" ht="12" customHeight="1" x14ac:dyDescent="0.25">
      <c r="A19" s="5"/>
      <c r="B19" s="28" t="s">
        <v>12</v>
      </c>
      <c r="C19" s="29"/>
      <c r="D19" s="30"/>
      <c r="E19" s="30"/>
      <c r="F19" s="30"/>
      <c r="G19" s="30"/>
    </row>
    <row r="20" spans="1:9" ht="24" customHeight="1" x14ac:dyDescent="0.25">
      <c r="A20" s="24"/>
      <c r="B20" s="31" t="s">
        <v>13</v>
      </c>
      <c r="C20" s="31" t="s">
        <v>14</v>
      </c>
      <c r="D20" s="31" t="s">
        <v>15</v>
      </c>
      <c r="E20" s="31" t="s">
        <v>16</v>
      </c>
      <c r="F20" s="31" t="s">
        <v>17</v>
      </c>
      <c r="G20" s="31" t="s">
        <v>18</v>
      </c>
    </row>
    <row r="21" spans="1:9" ht="12.75" customHeight="1" x14ac:dyDescent="0.25">
      <c r="A21" s="24"/>
      <c r="B21" s="133" t="s">
        <v>63</v>
      </c>
      <c r="C21" s="32" t="s">
        <v>19</v>
      </c>
      <c r="D21" s="33">
        <f>7000*4*5/20000</f>
        <v>7</v>
      </c>
      <c r="E21" s="133" t="s">
        <v>116</v>
      </c>
      <c r="F21" s="17">
        <v>25000</v>
      </c>
      <c r="G21" s="17">
        <f>+F21*D21</f>
        <v>175000</v>
      </c>
    </row>
    <row r="22" spans="1:9" ht="12.75" customHeight="1" x14ac:dyDescent="0.25">
      <c r="A22" s="24"/>
      <c r="B22" s="133" t="s">
        <v>97</v>
      </c>
      <c r="C22" s="32" t="s">
        <v>19</v>
      </c>
      <c r="D22" s="33">
        <v>2</v>
      </c>
      <c r="E22" s="133" t="s">
        <v>98</v>
      </c>
      <c r="F22" s="17">
        <v>25000</v>
      </c>
      <c r="G22" s="17">
        <f>+F22*D22</f>
        <v>50000</v>
      </c>
    </row>
    <row r="23" spans="1:9" ht="12.75" customHeight="1" x14ac:dyDescent="0.25">
      <c r="A23" s="24"/>
      <c r="B23" s="133" t="s">
        <v>66</v>
      </c>
      <c r="C23" s="32" t="s">
        <v>117</v>
      </c>
      <c r="D23" s="33"/>
      <c r="E23" s="133"/>
      <c r="F23" s="17"/>
      <c r="G23" s="17"/>
    </row>
    <row r="24" spans="1:9" ht="12.75" customHeight="1" x14ac:dyDescent="0.25">
      <c r="A24" s="24"/>
      <c r="B24" s="12" t="s">
        <v>64</v>
      </c>
      <c r="C24" s="32" t="s">
        <v>19</v>
      </c>
      <c r="D24" s="33">
        <v>3</v>
      </c>
      <c r="E24" s="12" t="s">
        <v>99</v>
      </c>
      <c r="F24" s="17">
        <v>25000</v>
      </c>
      <c r="G24" s="17">
        <f t="shared" ref="G24:G32" si="0">+F24*D24</f>
        <v>75000</v>
      </c>
    </row>
    <row r="25" spans="1:9" ht="12.75" customHeight="1" x14ac:dyDescent="0.25">
      <c r="A25" s="24"/>
      <c r="B25" s="133" t="s">
        <v>128</v>
      </c>
      <c r="C25" s="32" t="s">
        <v>19</v>
      </c>
      <c r="D25" s="33">
        <v>5</v>
      </c>
      <c r="E25" s="133" t="s">
        <v>129</v>
      </c>
      <c r="F25" s="17">
        <v>25000</v>
      </c>
      <c r="G25" s="17">
        <f t="shared" si="0"/>
        <v>125000</v>
      </c>
      <c r="I25" s="166">
        <f>400*5/100</f>
        <v>20</v>
      </c>
    </row>
    <row r="26" spans="1:9" ht="12.75" customHeight="1" x14ac:dyDescent="0.25">
      <c r="A26" s="24"/>
      <c r="B26" s="133" t="s">
        <v>65</v>
      </c>
      <c r="C26" s="32" t="s">
        <v>19</v>
      </c>
      <c r="D26" s="33">
        <v>25</v>
      </c>
      <c r="E26" s="133" t="s">
        <v>130</v>
      </c>
      <c r="F26" s="17">
        <v>25000</v>
      </c>
      <c r="G26" s="17">
        <f t="shared" si="0"/>
        <v>625000</v>
      </c>
    </row>
    <row r="27" spans="1:9" ht="12.75" customHeight="1" x14ac:dyDescent="0.25">
      <c r="A27" s="24"/>
      <c r="B27" s="139" t="s">
        <v>82</v>
      </c>
      <c r="C27" s="32" t="s">
        <v>19</v>
      </c>
      <c r="D27" s="33">
        <v>20</v>
      </c>
      <c r="E27" s="133" t="s">
        <v>99</v>
      </c>
      <c r="F27" s="17">
        <v>25000</v>
      </c>
      <c r="G27" s="17">
        <f t="shared" si="0"/>
        <v>500000</v>
      </c>
    </row>
    <row r="28" spans="1:9" ht="12.75" customHeight="1" x14ac:dyDescent="0.25">
      <c r="A28" s="24"/>
      <c r="B28" s="139" t="s">
        <v>140</v>
      </c>
      <c r="C28" s="32" t="s">
        <v>19</v>
      </c>
      <c r="D28" s="155">
        <f>(60000/35000)*(5*50%)</f>
        <v>4.2857142857142856</v>
      </c>
      <c r="E28" s="153" t="s">
        <v>129</v>
      </c>
      <c r="F28" s="17">
        <v>35000</v>
      </c>
      <c r="G28" s="17">
        <f t="shared" si="0"/>
        <v>150000</v>
      </c>
    </row>
    <row r="29" spans="1:9" ht="12.75" customHeight="1" x14ac:dyDescent="0.25">
      <c r="A29" s="24"/>
      <c r="B29" s="139" t="s">
        <v>141</v>
      </c>
      <c r="C29" s="32" t="s">
        <v>19</v>
      </c>
      <c r="D29" s="155">
        <f>+(15000/35000)*(5*0.3)</f>
        <v>0.64285714285714279</v>
      </c>
      <c r="E29" s="153" t="s">
        <v>129</v>
      </c>
      <c r="F29" s="17">
        <v>35000</v>
      </c>
      <c r="G29" s="17">
        <f t="shared" si="0"/>
        <v>22499.999999999996</v>
      </c>
    </row>
    <row r="30" spans="1:9" ht="12.75" customHeight="1" x14ac:dyDescent="0.25">
      <c r="A30" s="24"/>
      <c r="B30" s="139" t="s">
        <v>142</v>
      </c>
      <c r="C30" s="32" t="s">
        <v>19</v>
      </c>
      <c r="D30" s="155">
        <f>(15000/35000)*(5*50%)</f>
        <v>1.0714285714285714</v>
      </c>
      <c r="E30" s="153" t="s">
        <v>129</v>
      </c>
      <c r="F30" s="17">
        <v>35000</v>
      </c>
      <c r="G30" s="17">
        <f t="shared" si="0"/>
        <v>37500</v>
      </c>
    </row>
    <row r="31" spans="1:9" ht="12.75" customHeight="1" x14ac:dyDescent="0.25">
      <c r="A31" s="24"/>
      <c r="B31" s="139" t="s">
        <v>143</v>
      </c>
      <c r="C31" s="32" t="s">
        <v>19</v>
      </c>
      <c r="D31" s="155">
        <f t="shared" ref="D31:D32" si="1">(60000/35000)*(5*50%)</f>
        <v>4.2857142857142856</v>
      </c>
      <c r="E31" s="153" t="s">
        <v>144</v>
      </c>
      <c r="F31" s="17">
        <v>35000</v>
      </c>
      <c r="G31" s="17">
        <f t="shared" si="0"/>
        <v>150000</v>
      </c>
    </row>
    <row r="32" spans="1:9" ht="12.75" customHeight="1" x14ac:dyDescent="0.25">
      <c r="A32" s="24"/>
      <c r="B32" s="139" t="s">
        <v>145</v>
      </c>
      <c r="C32" s="32" t="s">
        <v>19</v>
      </c>
      <c r="D32" s="155">
        <f t="shared" si="1"/>
        <v>4.2857142857142856</v>
      </c>
      <c r="E32" s="153" t="s">
        <v>129</v>
      </c>
      <c r="F32" s="17">
        <v>35000</v>
      </c>
      <c r="G32" s="17">
        <f t="shared" si="0"/>
        <v>150000</v>
      </c>
    </row>
    <row r="33" spans="1:8" ht="12.75" customHeight="1" x14ac:dyDescent="0.25">
      <c r="A33" s="24"/>
      <c r="B33" s="139"/>
      <c r="C33" s="32"/>
      <c r="D33" s="33"/>
      <c r="E33" s="153"/>
      <c r="F33" s="17"/>
      <c r="G33" s="17"/>
    </row>
    <row r="34" spans="1:8" ht="12.75" customHeight="1" x14ac:dyDescent="0.25">
      <c r="A34" s="24"/>
      <c r="B34" s="139"/>
      <c r="C34" s="32"/>
      <c r="D34" s="33"/>
      <c r="E34" s="133"/>
      <c r="F34" s="17"/>
      <c r="G34" s="17"/>
    </row>
    <row r="35" spans="1:8" ht="12.75" customHeight="1" x14ac:dyDescent="0.25">
      <c r="A35" s="24"/>
      <c r="B35" s="139"/>
      <c r="C35" s="32"/>
      <c r="D35" s="33"/>
      <c r="E35" s="133"/>
      <c r="F35" s="17"/>
      <c r="G35" s="17"/>
    </row>
    <row r="36" spans="1:8" ht="12.75" customHeight="1" x14ac:dyDescent="0.25">
      <c r="A36" s="24"/>
      <c r="B36" s="34" t="s">
        <v>20</v>
      </c>
      <c r="C36" s="35"/>
      <c r="D36" s="35"/>
      <c r="E36" s="35"/>
      <c r="F36" s="36"/>
      <c r="G36" s="37">
        <f>SUM(G21:G35)</f>
        <v>2060000</v>
      </c>
      <c r="H36" s="145"/>
    </row>
    <row r="37" spans="1:8" ht="12" customHeight="1" x14ac:dyDescent="0.25">
      <c r="A37" s="2"/>
      <c r="B37" s="25"/>
      <c r="C37" s="27"/>
      <c r="D37" s="27"/>
      <c r="E37" s="27"/>
      <c r="F37" s="38"/>
      <c r="G37" s="38"/>
    </row>
    <row r="38" spans="1:8" ht="12" customHeight="1" x14ac:dyDescent="0.25">
      <c r="A38" s="5"/>
      <c r="B38" s="39" t="s">
        <v>21</v>
      </c>
      <c r="C38" s="40"/>
      <c r="D38" s="41"/>
      <c r="E38" s="41"/>
      <c r="F38" s="42"/>
      <c r="G38" s="42"/>
    </row>
    <row r="39" spans="1:8" ht="24" customHeight="1" x14ac:dyDescent="0.25">
      <c r="A39" s="5"/>
      <c r="B39" s="43" t="s">
        <v>13</v>
      </c>
      <c r="C39" s="44" t="s">
        <v>14</v>
      </c>
      <c r="D39" s="44" t="s">
        <v>15</v>
      </c>
      <c r="E39" s="43" t="s">
        <v>16</v>
      </c>
      <c r="F39" s="44" t="s">
        <v>17</v>
      </c>
      <c r="G39" s="43" t="s">
        <v>18</v>
      </c>
    </row>
    <row r="40" spans="1:8" ht="12" customHeight="1" x14ac:dyDescent="0.25">
      <c r="A40" s="5"/>
      <c r="B40" s="45"/>
      <c r="C40" s="46"/>
      <c r="D40" s="46"/>
      <c r="E40" s="46"/>
      <c r="F40" s="45"/>
      <c r="G40" s="45"/>
    </row>
    <row r="41" spans="1:8" ht="12" customHeight="1" x14ac:dyDescent="0.25">
      <c r="A41" s="5"/>
      <c r="B41" s="47" t="s">
        <v>22</v>
      </c>
      <c r="C41" s="48"/>
      <c r="D41" s="48"/>
      <c r="E41" s="48"/>
      <c r="F41" s="49"/>
      <c r="G41" s="49"/>
    </row>
    <row r="42" spans="1:8" ht="12" customHeight="1" x14ac:dyDescent="0.25">
      <c r="A42" s="2"/>
      <c r="B42" s="50"/>
      <c r="C42" s="51"/>
      <c r="D42" s="51"/>
      <c r="E42" s="51"/>
      <c r="F42" s="52"/>
      <c r="G42" s="52"/>
    </row>
    <row r="43" spans="1:8" ht="12" customHeight="1" x14ac:dyDescent="0.25">
      <c r="A43" s="5"/>
      <c r="B43" s="39" t="s">
        <v>23</v>
      </c>
      <c r="C43" s="40"/>
      <c r="D43" s="41"/>
      <c r="E43" s="41"/>
      <c r="F43" s="42"/>
      <c r="G43" s="42"/>
    </row>
    <row r="44" spans="1:8" ht="24" customHeight="1" x14ac:dyDescent="0.25">
      <c r="A44" s="5"/>
      <c r="B44" s="53" t="s">
        <v>13</v>
      </c>
      <c r="C44" s="53" t="s">
        <v>14</v>
      </c>
      <c r="D44" s="53" t="s">
        <v>15</v>
      </c>
      <c r="E44" s="53" t="s">
        <v>16</v>
      </c>
      <c r="F44" s="54" t="s">
        <v>17</v>
      </c>
      <c r="G44" s="53" t="s">
        <v>18</v>
      </c>
    </row>
    <row r="45" spans="1:8" ht="12.75" customHeight="1" x14ac:dyDescent="0.25">
      <c r="A45" s="24"/>
      <c r="B45" s="12" t="s">
        <v>67</v>
      </c>
      <c r="C45" s="32" t="s">
        <v>139</v>
      </c>
      <c r="D45" s="33">
        <v>1</v>
      </c>
      <c r="E45" s="14" t="s">
        <v>118</v>
      </c>
      <c r="F45" s="17">
        <v>176000</v>
      </c>
      <c r="G45" s="17">
        <f>+F45*D45</f>
        <v>176000</v>
      </c>
    </row>
    <row r="46" spans="1:8" ht="12.75" customHeight="1" x14ac:dyDescent="0.25">
      <c r="A46" s="24"/>
      <c r="B46" s="12"/>
      <c r="C46" s="32"/>
      <c r="D46" s="33"/>
      <c r="E46" s="14"/>
      <c r="F46" s="17"/>
      <c r="G46" s="17"/>
    </row>
    <row r="47" spans="1:8" ht="12.75" customHeight="1" x14ac:dyDescent="0.25">
      <c r="A47" s="5"/>
      <c r="B47" s="55" t="s">
        <v>24</v>
      </c>
      <c r="C47" s="56"/>
      <c r="D47" s="56"/>
      <c r="E47" s="56"/>
      <c r="F47" s="57"/>
      <c r="G47" s="58">
        <f>SUM(G45:G46)</f>
        <v>176000</v>
      </c>
    </row>
    <row r="48" spans="1:8" ht="12" customHeight="1" x14ac:dyDescent="0.25">
      <c r="A48" s="2"/>
      <c r="B48" s="50"/>
      <c r="C48" s="51"/>
      <c r="D48" s="51"/>
      <c r="E48" s="51"/>
      <c r="F48" s="52"/>
      <c r="G48" s="52"/>
    </row>
    <row r="49" spans="1:11" ht="12" customHeight="1" x14ac:dyDescent="0.25">
      <c r="A49" s="5"/>
      <c r="B49" s="39" t="s">
        <v>25</v>
      </c>
      <c r="C49" s="40"/>
      <c r="D49" s="41"/>
      <c r="E49" s="41"/>
      <c r="F49" s="42"/>
      <c r="G49" s="42"/>
    </row>
    <row r="50" spans="1:11" ht="24" customHeight="1" x14ac:dyDescent="0.25">
      <c r="A50" s="5"/>
      <c r="B50" s="54" t="s">
        <v>26</v>
      </c>
      <c r="C50" s="54" t="s">
        <v>27</v>
      </c>
      <c r="D50" s="54" t="s">
        <v>28</v>
      </c>
      <c r="E50" s="54" t="s">
        <v>16</v>
      </c>
      <c r="F50" s="54" t="s">
        <v>17</v>
      </c>
      <c r="G50" s="54" t="s">
        <v>18</v>
      </c>
      <c r="K50" s="132"/>
    </row>
    <row r="51" spans="1:11" ht="12.75" customHeight="1" x14ac:dyDescent="0.25">
      <c r="A51" s="24"/>
      <c r="B51" s="134" t="s">
        <v>138</v>
      </c>
      <c r="C51" s="63" t="s">
        <v>69</v>
      </c>
      <c r="D51" s="135">
        <f>1000*4*5</f>
        <v>20000</v>
      </c>
      <c r="E51" s="63" t="s">
        <v>100</v>
      </c>
      <c r="F51" s="61">
        <v>110</v>
      </c>
      <c r="G51" s="61">
        <f>+F51*D51</f>
        <v>2200000</v>
      </c>
    </row>
    <row r="52" spans="1:11" ht="12.75" customHeight="1" x14ac:dyDescent="0.25">
      <c r="A52" s="24"/>
      <c r="B52" s="62" t="s">
        <v>29</v>
      </c>
      <c r="C52" s="63"/>
      <c r="D52" s="16"/>
      <c r="E52" s="63"/>
      <c r="F52" s="61"/>
      <c r="G52" s="61"/>
    </row>
    <row r="53" spans="1:11" ht="12.75" customHeight="1" x14ac:dyDescent="0.25">
      <c r="A53" s="24"/>
      <c r="B53" s="134" t="s">
        <v>70</v>
      </c>
      <c r="C53" s="63" t="s">
        <v>30</v>
      </c>
      <c r="D53" s="135">
        <v>50</v>
      </c>
      <c r="E53" s="63" t="s">
        <v>68</v>
      </c>
      <c r="F53" s="61">
        <v>1760</v>
      </c>
      <c r="G53" s="61">
        <f>+F53*D53</f>
        <v>88000</v>
      </c>
    </row>
    <row r="54" spans="1:11" ht="12.75" customHeight="1" x14ac:dyDescent="0.25">
      <c r="A54" s="24"/>
      <c r="B54" s="134" t="s">
        <v>71</v>
      </c>
      <c r="C54" s="63" t="s">
        <v>30</v>
      </c>
      <c r="D54" s="135">
        <v>25</v>
      </c>
      <c r="E54" s="63" t="s">
        <v>68</v>
      </c>
      <c r="F54" s="61">
        <v>1280</v>
      </c>
      <c r="G54" s="61">
        <f>+F54*D54</f>
        <v>32000</v>
      </c>
    </row>
    <row r="55" spans="1:11" ht="12.75" customHeight="1" x14ac:dyDescent="0.25">
      <c r="A55" s="24"/>
      <c r="B55" s="134" t="s">
        <v>72</v>
      </c>
      <c r="C55" s="59" t="s">
        <v>30</v>
      </c>
      <c r="D55" s="60">
        <v>25</v>
      </c>
      <c r="E55" s="59" t="s">
        <v>68</v>
      </c>
      <c r="F55" s="61">
        <v>912</v>
      </c>
      <c r="G55" s="61">
        <f>(D55*F55)</f>
        <v>22800</v>
      </c>
    </row>
    <row r="56" spans="1:11" ht="12.75" customHeight="1" x14ac:dyDescent="0.25">
      <c r="A56" s="24"/>
      <c r="B56" s="134" t="s">
        <v>73</v>
      </c>
      <c r="C56" s="59" t="s">
        <v>31</v>
      </c>
      <c r="D56" s="60">
        <v>25</v>
      </c>
      <c r="E56" s="59" t="s">
        <v>68</v>
      </c>
      <c r="F56" s="61">
        <v>1800</v>
      </c>
      <c r="G56" s="61">
        <f>(D56*F56)</f>
        <v>45000</v>
      </c>
    </row>
    <row r="57" spans="1:11" ht="12.75" customHeight="1" x14ac:dyDescent="0.25">
      <c r="A57" s="24"/>
      <c r="B57" s="134" t="s">
        <v>74</v>
      </c>
      <c r="C57" s="59" t="s">
        <v>30</v>
      </c>
      <c r="D57" s="60">
        <v>50</v>
      </c>
      <c r="E57" s="59" t="s">
        <v>68</v>
      </c>
      <c r="F57" s="61">
        <v>1400</v>
      </c>
      <c r="G57" s="61">
        <f>+F57*D57</f>
        <v>70000</v>
      </c>
    </row>
    <row r="58" spans="1:11" ht="12.75" customHeight="1" x14ac:dyDescent="0.25">
      <c r="A58" s="24"/>
      <c r="B58" s="134" t="s">
        <v>109</v>
      </c>
      <c r="C58" s="59" t="s">
        <v>110</v>
      </c>
      <c r="D58" s="60">
        <v>0.5</v>
      </c>
      <c r="E58" s="59" t="s">
        <v>68</v>
      </c>
      <c r="F58" s="61">
        <f>43529*1.19</f>
        <v>51799.509999999995</v>
      </c>
      <c r="G58" s="61">
        <f>+F58*D58</f>
        <v>25899.754999999997</v>
      </c>
    </row>
    <row r="59" spans="1:11" ht="12.75" customHeight="1" x14ac:dyDescent="0.25">
      <c r="A59" s="24"/>
      <c r="B59" s="134"/>
      <c r="C59" s="59"/>
      <c r="D59" s="60"/>
      <c r="E59" s="59"/>
      <c r="F59" s="61"/>
      <c r="G59" s="61"/>
    </row>
    <row r="60" spans="1:11" ht="12.75" customHeight="1" x14ac:dyDescent="0.25">
      <c r="A60" s="24"/>
      <c r="B60" s="62" t="s">
        <v>32</v>
      </c>
      <c r="C60" s="63"/>
      <c r="D60" s="16"/>
      <c r="E60" s="63"/>
      <c r="F60" s="61"/>
      <c r="G60" s="61"/>
    </row>
    <row r="61" spans="1:11" ht="12.75" customHeight="1" x14ac:dyDescent="0.25">
      <c r="A61" s="24"/>
      <c r="B61" s="15" t="s">
        <v>75</v>
      </c>
      <c r="C61" s="59" t="s">
        <v>76</v>
      </c>
      <c r="D61" s="60">
        <v>1</v>
      </c>
      <c r="E61" s="59" t="s">
        <v>68</v>
      </c>
      <c r="F61" s="61">
        <f>24538*1.19</f>
        <v>29200.219999999998</v>
      </c>
      <c r="G61" s="61">
        <f>+F61*D61</f>
        <v>29200.219999999998</v>
      </c>
    </row>
    <row r="62" spans="1:11" ht="12.75" customHeight="1" x14ac:dyDescent="0.25">
      <c r="A62" s="24"/>
      <c r="B62" s="15" t="s">
        <v>146</v>
      </c>
      <c r="C62" s="59" t="s">
        <v>78</v>
      </c>
      <c r="D62" s="60">
        <v>2</v>
      </c>
      <c r="E62" s="59" t="s">
        <v>68</v>
      </c>
      <c r="F62" s="61">
        <v>14000</v>
      </c>
      <c r="G62" s="61">
        <f>+F62*D62</f>
        <v>28000</v>
      </c>
    </row>
    <row r="63" spans="1:11" ht="12.75" customHeight="1" x14ac:dyDescent="0.25">
      <c r="A63" s="24"/>
      <c r="B63" s="62" t="s">
        <v>91</v>
      </c>
      <c r="C63" s="63"/>
      <c r="D63" s="16"/>
      <c r="E63" s="63"/>
      <c r="F63" s="61"/>
      <c r="G63" s="61"/>
    </row>
    <row r="64" spans="1:11" ht="12.75" customHeight="1" x14ac:dyDescent="0.25">
      <c r="A64" s="24"/>
      <c r="B64" s="134" t="s">
        <v>87</v>
      </c>
      <c r="C64" s="59" t="s">
        <v>88</v>
      </c>
      <c r="D64" s="60">
        <v>0.5</v>
      </c>
      <c r="E64" s="59" t="s">
        <v>68</v>
      </c>
      <c r="F64" s="61">
        <f>81429*1.19</f>
        <v>96900.51</v>
      </c>
      <c r="G64" s="144">
        <f t="shared" ref="G64:G69" si="2">+F64*D64</f>
        <v>48450.254999999997</v>
      </c>
    </row>
    <row r="65" spans="1:7" ht="12.75" customHeight="1" x14ac:dyDescent="0.25">
      <c r="A65" s="24"/>
      <c r="B65" s="134" t="s">
        <v>79</v>
      </c>
      <c r="C65" s="59" t="s">
        <v>88</v>
      </c>
      <c r="D65" s="60">
        <v>1</v>
      </c>
      <c r="E65" s="59" t="s">
        <v>68</v>
      </c>
      <c r="F65" s="61">
        <v>27000</v>
      </c>
      <c r="G65" s="144">
        <f t="shared" si="2"/>
        <v>27000</v>
      </c>
    </row>
    <row r="66" spans="1:7" ht="12.75" customHeight="1" x14ac:dyDescent="0.25">
      <c r="A66" s="24"/>
      <c r="B66" s="134" t="s">
        <v>89</v>
      </c>
      <c r="C66" s="59" t="s">
        <v>90</v>
      </c>
      <c r="D66" s="60">
        <v>1</v>
      </c>
      <c r="E66" s="59" t="s">
        <v>68</v>
      </c>
      <c r="F66" s="61">
        <v>35294</v>
      </c>
      <c r="G66" s="144">
        <f t="shared" si="2"/>
        <v>35294</v>
      </c>
    </row>
    <row r="67" spans="1:7" ht="12.75" customHeight="1" x14ac:dyDescent="0.25">
      <c r="A67" s="24"/>
      <c r="B67" s="134" t="s">
        <v>119</v>
      </c>
      <c r="C67" s="59" t="s">
        <v>120</v>
      </c>
      <c r="D67" s="60">
        <v>0.5</v>
      </c>
      <c r="E67" s="59" t="s">
        <v>121</v>
      </c>
      <c r="F67" s="148">
        <f>180000*1.19</f>
        <v>214200</v>
      </c>
      <c r="G67" s="144">
        <f t="shared" si="2"/>
        <v>107100</v>
      </c>
    </row>
    <row r="68" spans="1:7" ht="12.75" customHeight="1" x14ac:dyDescent="0.25">
      <c r="A68" s="24"/>
      <c r="B68" s="134" t="s">
        <v>104</v>
      </c>
      <c r="C68" s="59" t="s">
        <v>88</v>
      </c>
      <c r="D68" s="60">
        <v>0.5</v>
      </c>
      <c r="E68" s="59" t="s">
        <v>68</v>
      </c>
      <c r="F68" s="61">
        <v>68000</v>
      </c>
      <c r="G68" s="144">
        <f t="shared" si="2"/>
        <v>34000</v>
      </c>
    </row>
    <row r="69" spans="1:7" ht="12.75" customHeight="1" x14ac:dyDescent="0.25">
      <c r="A69" s="24"/>
      <c r="B69" s="134" t="s">
        <v>108</v>
      </c>
      <c r="C69" s="59" t="s">
        <v>88</v>
      </c>
      <c r="D69" s="60">
        <v>1</v>
      </c>
      <c r="E69" s="59" t="s">
        <v>68</v>
      </c>
      <c r="F69" s="61">
        <f>14454*1.19</f>
        <v>17200.259999999998</v>
      </c>
      <c r="G69" s="144">
        <f t="shared" si="2"/>
        <v>17200.259999999998</v>
      </c>
    </row>
    <row r="70" spans="1:7" ht="12.75" customHeight="1" x14ac:dyDescent="0.25">
      <c r="A70" s="24"/>
      <c r="B70" s="134" t="s">
        <v>122</v>
      </c>
      <c r="C70" s="59" t="s">
        <v>120</v>
      </c>
      <c r="D70" s="60">
        <v>1</v>
      </c>
      <c r="E70" s="59" t="s">
        <v>121</v>
      </c>
      <c r="F70" s="61">
        <f>32353*1.19</f>
        <v>38500.07</v>
      </c>
      <c r="G70" s="144">
        <f>+F70+D70</f>
        <v>38501.07</v>
      </c>
    </row>
    <row r="71" spans="1:7" ht="12.75" customHeight="1" x14ac:dyDescent="0.25">
      <c r="A71" s="24"/>
      <c r="B71" s="136" t="s">
        <v>133</v>
      </c>
      <c r="C71" s="59" t="s">
        <v>147</v>
      </c>
      <c r="D71" s="60">
        <f>90*30*4*5/1000</f>
        <v>54</v>
      </c>
      <c r="E71" s="59" t="s">
        <v>118</v>
      </c>
      <c r="F71" s="148">
        <f>4.5*850*1.19</f>
        <v>4551.75</v>
      </c>
      <c r="G71" s="144">
        <f>+F71*D71</f>
        <v>245794.5</v>
      </c>
    </row>
    <row r="72" spans="1:7" ht="12.75" customHeight="1" x14ac:dyDescent="0.25">
      <c r="A72" s="24"/>
      <c r="B72" s="62" t="s">
        <v>34</v>
      </c>
      <c r="C72" s="59"/>
      <c r="D72" s="60"/>
      <c r="E72" s="59"/>
      <c r="F72" s="61"/>
      <c r="G72" s="60"/>
    </row>
    <row r="73" spans="1:7" ht="12.75" customHeight="1" x14ac:dyDescent="0.25">
      <c r="A73" s="24"/>
      <c r="B73" s="136" t="s">
        <v>131</v>
      </c>
      <c r="C73" s="59" t="s">
        <v>132</v>
      </c>
      <c r="D73" s="60">
        <v>5</v>
      </c>
      <c r="E73" s="59" t="s">
        <v>118</v>
      </c>
      <c r="F73" s="148">
        <v>25000</v>
      </c>
      <c r="G73" s="144">
        <f>+F73*D73</f>
        <v>125000</v>
      </c>
    </row>
    <row r="74" spans="1:7" ht="12.75" customHeight="1" x14ac:dyDescent="0.25">
      <c r="A74" s="24"/>
      <c r="B74" s="134" t="s">
        <v>148</v>
      </c>
      <c r="C74" s="59" t="s">
        <v>88</v>
      </c>
      <c r="D74" s="60">
        <v>1</v>
      </c>
      <c r="E74" s="59" t="s">
        <v>68</v>
      </c>
      <c r="F74" s="61">
        <f>24790*1.19</f>
        <v>29500.1</v>
      </c>
      <c r="G74" s="144">
        <f t="shared" ref="G74:G77" si="3">+F74*D74</f>
        <v>29500.1</v>
      </c>
    </row>
    <row r="75" spans="1:7" ht="12.75" customHeight="1" x14ac:dyDescent="0.25">
      <c r="A75" s="24"/>
      <c r="B75" s="154" t="s">
        <v>149</v>
      </c>
      <c r="C75" s="59" t="s">
        <v>151</v>
      </c>
      <c r="D75" s="60">
        <v>1</v>
      </c>
      <c r="E75" s="59" t="s">
        <v>68</v>
      </c>
      <c r="F75" s="61">
        <f>25630*1.19</f>
        <v>30499.699999999997</v>
      </c>
      <c r="G75" s="144">
        <f>+F75*D75</f>
        <v>30499.699999999997</v>
      </c>
    </row>
    <row r="76" spans="1:7" ht="12.75" customHeight="1" x14ac:dyDescent="0.25">
      <c r="A76" s="24"/>
      <c r="B76" s="134" t="s">
        <v>152</v>
      </c>
      <c r="C76" s="59" t="s">
        <v>153</v>
      </c>
      <c r="D76" s="60">
        <v>0.5</v>
      </c>
      <c r="E76" s="59" t="s">
        <v>68</v>
      </c>
      <c r="F76" s="61">
        <f>47815*1.19</f>
        <v>56899.85</v>
      </c>
      <c r="G76" s="61">
        <f t="shared" si="3"/>
        <v>28449.924999999999</v>
      </c>
    </row>
    <row r="77" spans="1:7" ht="12.75" customHeight="1" x14ac:dyDescent="0.25">
      <c r="A77" s="24"/>
      <c r="B77" s="134" t="s">
        <v>154</v>
      </c>
      <c r="C77" s="59" t="s">
        <v>150</v>
      </c>
      <c r="D77" s="60">
        <v>0.5</v>
      </c>
      <c r="E77" s="59" t="s">
        <v>68</v>
      </c>
      <c r="F77" s="61">
        <v>134000</v>
      </c>
      <c r="G77" s="61">
        <f t="shared" si="3"/>
        <v>67000</v>
      </c>
    </row>
    <row r="78" spans="1:7" ht="12.75" customHeight="1" x14ac:dyDescent="0.25">
      <c r="A78" s="24"/>
      <c r="B78" s="154" t="s">
        <v>80</v>
      </c>
      <c r="C78" s="59" t="s">
        <v>155</v>
      </c>
      <c r="D78" s="60">
        <v>0.5</v>
      </c>
      <c r="E78" s="59" t="s">
        <v>68</v>
      </c>
      <c r="F78" s="61">
        <v>190749</v>
      </c>
      <c r="G78" s="61">
        <f t="shared" ref="G78" si="4">+F78*D78</f>
        <v>95374.5</v>
      </c>
    </row>
    <row r="79" spans="1:7" ht="12.75" customHeight="1" x14ac:dyDescent="0.25">
      <c r="A79" s="24"/>
      <c r="B79" s="154" t="s">
        <v>156</v>
      </c>
      <c r="C79" s="59" t="s">
        <v>157</v>
      </c>
      <c r="D79" s="60">
        <f>+(((30*4.2)+(30*4))*5)*0.5</f>
        <v>615</v>
      </c>
      <c r="E79" s="59" t="s">
        <v>129</v>
      </c>
      <c r="F79" s="61">
        <v>490</v>
      </c>
      <c r="G79" s="61">
        <f>+F79*D79</f>
        <v>301350</v>
      </c>
    </row>
    <row r="80" spans="1:7" ht="12.75" customHeight="1" x14ac:dyDescent="0.25">
      <c r="A80" s="24"/>
      <c r="B80" s="154" t="s">
        <v>158</v>
      </c>
      <c r="C80" s="59" t="s">
        <v>157</v>
      </c>
      <c r="D80" s="60">
        <v>156</v>
      </c>
      <c r="E80" s="59" t="s">
        <v>129</v>
      </c>
      <c r="F80" s="61">
        <v>490</v>
      </c>
      <c r="G80" s="61">
        <f>+F80*D80</f>
        <v>76440</v>
      </c>
    </row>
    <row r="81" spans="1:7" ht="12.75" customHeight="1" x14ac:dyDescent="0.25">
      <c r="A81" s="24"/>
      <c r="B81" s="154" t="s">
        <v>159</v>
      </c>
      <c r="C81" s="59" t="s">
        <v>157</v>
      </c>
      <c r="D81" s="60">
        <f>30*4*0.5</f>
        <v>60</v>
      </c>
      <c r="E81" s="59" t="s">
        <v>129</v>
      </c>
      <c r="F81" s="61">
        <v>1013</v>
      </c>
      <c r="G81" s="61">
        <f>+F81*D81</f>
        <v>60780</v>
      </c>
    </row>
    <row r="82" spans="1:7" ht="12.75" customHeight="1" x14ac:dyDescent="0.25">
      <c r="A82" s="24"/>
      <c r="B82" s="154" t="s">
        <v>160</v>
      </c>
      <c r="C82" s="59" t="s">
        <v>93</v>
      </c>
      <c r="D82" s="60">
        <v>1</v>
      </c>
      <c r="E82" s="59" t="s">
        <v>85</v>
      </c>
      <c r="F82" s="61">
        <v>65000</v>
      </c>
      <c r="G82" s="61">
        <f t="shared" ref="G82:G84" si="5">+F82*D82</f>
        <v>65000</v>
      </c>
    </row>
    <row r="83" spans="1:7" ht="12.75" customHeight="1" x14ac:dyDescent="0.25">
      <c r="A83" s="24"/>
      <c r="B83" s="140" t="s">
        <v>161</v>
      </c>
      <c r="C83" s="141" t="s">
        <v>162</v>
      </c>
      <c r="D83" s="142">
        <f>30*2*5*5*0.5</f>
        <v>750</v>
      </c>
      <c r="E83" s="141" t="s">
        <v>85</v>
      </c>
      <c r="F83" s="61">
        <f>208250/4250</f>
        <v>49</v>
      </c>
      <c r="G83" s="137">
        <f t="shared" si="5"/>
        <v>36750</v>
      </c>
    </row>
    <row r="84" spans="1:7" ht="12.75" customHeight="1" x14ac:dyDescent="0.25">
      <c r="A84" s="24"/>
      <c r="B84" s="140" t="s">
        <v>102</v>
      </c>
      <c r="C84" s="141" t="s">
        <v>103</v>
      </c>
      <c r="D84" s="142">
        <v>1</v>
      </c>
      <c r="E84" s="141" t="s">
        <v>68</v>
      </c>
      <c r="F84" s="61">
        <v>65000</v>
      </c>
      <c r="G84" s="137">
        <f t="shared" si="5"/>
        <v>65000</v>
      </c>
    </row>
    <row r="85" spans="1:7" ht="12.75" customHeight="1" x14ac:dyDescent="0.25">
      <c r="A85" s="24"/>
      <c r="B85" s="64"/>
      <c r="C85" s="65"/>
      <c r="D85" s="66"/>
      <c r="E85" s="65"/>
      <c r="F85" s="61"/>
      <c r="G85" s="67"/>
    </row>
    <row r="86" spans="1:7" ht="13.5" customHeight="1" x14ac:dyDescent="0.25">
      <c r="A86" s="5"/>
      <c r="B86" s="68" t="s">
        <v>33</v>
      </c>
      <c r="C86" s="69"/>
      <c r="D86" s="69"/>
      <c r="E86" s="69"/>
      <c r="F86" s="70"/>
      <c r="G86" s="71">
        <f>SUM(G51:G85)</f>
        <v>4075384.2849999997</v>
      </c>
    </row>
    <row r="87" spans="1:7" ht="12" customHeight="1" x14ac:dyDescent="0.25">
      <c r="A87" s="2"/>
      <c r="B87" s="50"/>
      <c r="C87" s="51"/>
      <c r="D87" s="51"/>
      <c r="E87" s="72"/>
      <c r="F87" s="52"/>
      <c r="G87" s="52"/>
    </row>
    <row r="88" spans="1:7" ht="12" customHeight="1" x14ac:dyDescent="0.25">
      <c r="A88" s="138" t="s">
        <v>81</v>
      </c>
      <c r="B88" s="50"/>
      <c r="C88" s="51"/>
      <c r="D88" s="51"/>
      <c r="E88" s="72"/>
      <c r="F88" s="52"/>
      <c r="G88" s="52"/>
    </row>
    <row r="89" spans="1:7" ht="12" customHeight="1" x14ac:dyDescent="0.25">
      <c r="A89" s="5"/>
      <c r="B89" s="39" t="s">
        <v>34</v>
      </c>
      <c r="C89" s="40"/>
      <c r="D89" s="41"/>
      <c r="E89" s="41"/>
      <c r="F89" s="42"/>
      <c r="G89" s="42"/>
    </row>
    <row r="90" spans="1:7" ht="24" customHeight="1" x14ac:dyDescent="0.25">
      <c r="A90" s="5"/>
      <c r="B90" s="53" t="s">
        <v>35</v>
      </c>
      <c r="C90" s="54" t="s">
        <v>27</v>
      </c>
      <c r="D90" s="54" t="s">
        <v>28</v>
      </c>
      <c r="E90" s="53" t="s">
        <v>16</v>
      </c>
      <c r="F90" s="54" t="s">
        <v>17</v>
      </c>
      <c r="G90" s="53" t="s">
        <v>18</v>
      </c>
    </row>
    <row r="91" spans="1:7" ht="12.75" customHeight="1" x14ac:dyDescent="0.25">
      <c r="A91" s="24"/>
      <c r="B91" s="133"/>
      <c r="C91" s="59"/>
      <c r="D91" s="61"/>
      <c r="E91" s="32"/>
      <c r="F91" s="73"/>
      <c r="G91" s="61"/>
    </row>
    <row r="92" spans="1:7" ht="12.75" customHeight="1" x14ac:dyDescent="0.25">
      <c r="A92" s="24"/>
      <c r="B92" s="133"/>
      <c r="C92" s="59"/>
      <c r="D92" s="61"/>
      <c r="E92" s="32"/>
      <c r="F92" s="73"/>
      <c r="G92" s="61"/>
    </row>
    <row r="93" spans="1:7" ht="12.75" customHeight="1" x14ac:dyDescent="0.25">
      <c r="A93" s="24"/>
      <c r="B93" s="12"/>
      <c r="C93" s="59"/>
      <c r="D93" s="61"/>
      <c r="E93" s="32"/>
      <c r="F93" s="73"/>
      <c r="G93" s="61"/>
    </row>
    <row r="94" spans="1:7" ht="13.5" customHeight="1" x14ac:dyDescent="0.25">
      <c r="A94" s="5"/>
      <c r="B94" s="74" t="s">
        <v>36</v>
      </c>
      <c r="C94" s="75"/>
      <c r="D94" s="75"/>
      <c r="E94" s="75"/>
      <c r="F94" s="76"/>
      <c r="G94" s="77">
        <f>SUM(G93)</f>
        <v>0</v>
      </c>
    </row>
    <row r="95" spans="1:7" ht="12" customHeight="1" x14ac:dyDescent="0.25">
      <c r="A95" s="2"/>
      <c r="B95" s="94"/>
      <c r="C95" s="94"/>
      <c r="D95" s="94"/>
      <c r="E95" s="94"/>
      <c r="F95" s="95"/>
      <c r="G95" s="95"/>
    </row>
    <row r="96" spans="1:7" ht="12" customHeight="1" x14ac:dyDescent="0.25">
      <c r="A96" s="91"/>
      <c r="B96" s="96" t="s">
        <v>37</v>
      </c>
      <c r="C96" s="97"/>
      <c r="D96" s="97"/>
      <c r="E96" s="97"/>
      <c r="F96" s="97"/>
      <c r="G96" s="98">
        <f>G36+G47+G86+G94</f>
        <v>6311384.2850000001</v>
      </c>
    </row>
    <row r="97" spans="1:9" ht="12" customHeight="1" x14ac:dyDescent="0.25">
      <c r="A97" s="91"/>
      <c r="B97" s="99" t="s">
        <v>38</v>
      </c>
      <c r="C97" s="79"/>
      <c r="D97" s="79"/>
      <c r="E97" s="79"/>
      <c r="F97" s="79"/>
      <c r="G97" s="100">
        <f>G96*0.05</f>
        <v>315569.21425000002</v>
      </c>
    </row>
    <row r="98" spans="1:9" ht="12" customHeight="1" x14ac:dyDescent="0.25">
      <c r="A98" s="91"/>
      <c r="B98" s="101" t="s">
        <v>39</v>
      </c>
      <c r="C98" s="78"/>
      <c r="D98" s="78"/>
      <c r="E98" s="78"/>
      <c r="F98" s="78"/>
      <c r="G98" s="102">
        <f>G97+G96</f>
        <v>6626953.4992500003</v>
      </c>
    </row>
    <row r="99" spans="1:9" ht="12" customHeight="1" x14ac:dyDescent="0.25">
      <c r="A99" s="91"/>
      <c r="B99" s="99" t="s">
        <v>40</v>
      </c>
      <c r="C99" s="79"/>
      <c r="D99" s="79"/>
      <c r="E99" s="79"/>
      <c r="F99" s="79"/>
      <c r="G99" s="100">
        <f>G12</f>
        <v>19250000</v>
      </c>
    </row>
    <row r="100" spans="1:9" ht="12" customHeight="1" x14ac:dyDescent="0.25">
      <c r="A100" s="91"/>
      <c r="B100" s="103" t="s">
        <v>41</v>
      </c>
      <c r="C100" s="104"/>
      <c r="D100" s="104"/>
      <c r="E100" s="104"/>
      <c r="F100" s="104"/>
      <c r="G100" s="105">
        <f>G99-G98</f>
        <v>12623046.50075</v>
      </c>
      <c r="I100" s="147"/>
    </row>
    <row r="101" spans="1:9" ht="12" customHeight="1" x14ac:dyDescent="0.25">
      <c r="A101" s="91"/>
      <c r="B101" s="92" t="s">
        <v>42</v>
      </c>
      <c r="C101" s="93"/>
      <c r="D101" s="93"/>
      <c r="E101" s="93"/>
      <c r="F101" s="93"/>
      <c r="G101" s="88">
        <f ca="1">+G100:G101/12</f>
        <v>0</v>
      </c>
    </row>
    <row r="102" spans="1:9" ht="12.75" customHeight="1" thickBot="1" x14ac:dyDescent="0.3">
      <c r="A102" s="91"/>
      <c r="B102" s="106"/>
      <c r="C102" s="93"/>
      <c r="D102" s="93"/>
      <c r="E102" s="93"/>
      <c r="F102" s="93"/>
      <c r="G102" s="88"/>
    </row>
    <row r="103" spans="1:9" ht="12" customHeight="1" x14ac:dyDescent="0.25">
      <c r="A103" s="91"/>
      <c r="B103" s="118" t="s">
        <v>43</v>
      </c>
      <c r="C103" s="119"/>
      <c r="D103" s="119"/>
      <c r="E103" s="119"/>
      <c r="F103" s="120"/>
      <c r="G103" s="88"/>
    </row>
    <row r="104" spans="1:9" ht="12" customHeight="1" x14ac:dyDescent="0.25">
      <c r="A104" s="91"/>
      <c r="B104" s="121" t="s">
        <v>44</v>
      </c>
      <c r="C104" s="90"/>
      <c r="D104" s="90"/>
      <c r="E104" s="90"/>
      <c r="F104" s="122"/>
      <c r="G104" s="88"/>
    </row>
    <row r="105" spans="1:9" ht="12" customHeight="1" x14ac:dyDescent="0.25">
      <c r="A105" s="91"/>
      <c r="B105" s="121" t="s">
        <v>45</v>
      </c>
      <c r="C105" s="90"/>
      <c r="D105" s="90"/>
      <c r="E105" s="90"/>
      <c r="F105" s="122"/>
      <c r="G105" s="88"/>
    </row>
    <row r="106" spans="1:9" ht="12" customHeight="1" x14ac:dyDescent="0.25">
      <c r="A106" s="91"/>
      <c r="B106" s="121" t="s">
        <v>46</v>
      </c>
      <c r="C106" s="90"/>
      <c r="D106" s="90"/>
      <c r="E106" s="90"/>
      <c r="F106" s="122"/>
      <c r="G106" s="88"/>
    </row>
    <row r="107" spans="1:9" ht="12" customHeight="1" x14ac:dyDescent="0.25">
      <c r="A107" s="91"/>
      <c r="B107" s="121" t="s">
        <v>47</v>
      </c>
      <c r="C107" s="90"/>
      <c r="D107" s="90"/>
      <c r="E107" s="90"/>
      <c r="F107" s="122"/>
      <c r="G107" s="88"/>
    </row>
    <row r="108" spans="1:9" ht="12" customHeight="1" x14ac:dyDescent="0.25">
      <c r="A108" s="91"/>
      <c r="B108" s="121" t="s">
        <v>48</v>
      </c>
      <c r="C108" s="90"/>
      <c r="D108" s="90"/>
      <c r="E108" s="90"/>
      <c r="F108" s="122"/>
      <c r="G108" s="88"/>
    </row>
    <row r="109" spans="1:9" ht="12.75" customHeight="1" thickBot="1" x14ac:dyDescent="0.3">
      <c r="A109" s="91"/>
      <c r="B109" s="123" t="s">
        <v>49</v>
      </c>
      <c r="C109" s="124"/>
      <c r="D109" s="124"/>
      <c r="E109" s="124"/>
      <c r="F109" s="125"/>
      <c r="G109" s="88"/>
    </row>
    <row r="110" spans="1:9" ht="12.75" customHeight="1" x14ac:dyDescent="0.25">
      <c r="A110" s="91"/>
      <c r="B110" s="116"/>
      <c r="C110" s="90"/>
      <c r="D110" s="90"/>
      <c r="E110" s="90"/>
      <c r="F110" s="90"/>
      <c r="G110" s="88"/>
    </row>
    <row r="111" spans="1:9" ht="15" customHeight="1" thickBot="1" x14ac:dyDescent="0.3">
      <c r="A111" s="91"/>
      <c r="B111" s="156" t="s">
        <v>50</v>
      </c>
      <c r="C111" s="157"/>
      <c r="D111" s="115"/>
      <c r="E111" s="81"/>
      <c r="F111" s="81"/>
      <c r="G111" s="88"/>
    </row>
    <row r="112" spans="1:9" ht="12" customHeight="1" x14ac:dyDescent="0.25">
      <c r="A112" s="91"/>
      <c r="B112" s="108" t="s">
        <v>35</v>
      </c>
      <c r="C112" s="82" t="s">
        <v>51</v>
      </c>
      <c r="D112" s="109" t="s">
        <v>52</v>
      </c>
      <c r="E112" s="81"/>
      <c r="F112" s="81"/>
      <c r="G112" s="88"/>
    </row>
    <row r="113" spans="1:7" ht="12" customHeight="1" x14ac:dyDescent="0.25">
      <c r="A113" s="91"/>
      <c r="B113" s="110" t="s">
        <v>53</v>
      </c>
      <c r="C113" s="83">
        <f>+G36</f>
        <v>2060000</v>
      </c>
      <c r="D113" s="111">
        <f>(C113/C119)</f>
        <v>0.31085173605535915</v>
      </c>
      <c r="E113" s="81"/>
      <c r="F113" s="81"/>
      <c r="G113" s="88"/>
    </row>
    <row r="114" spans="1:7" ht="12" customHeight="1" x14ac:dyDescent="0.25">
      <c r="A114" s="91"/>
      <c r="B114" s="110" t="s">
        <v>54</v>
      </c>
      <c r="C114" s="84">
        <f>+G41</f>
        <v>0</v>
      </c>
      <c r="D114" s="111">
        <v>0</v>
      </c>
      <c r="E114" s="81"/>
      <c r="F114" s="81"/>
      <c r="G114" s="88"/>
    </row>
    <row r="115" spans="1:7" ht="12" customHeight="1" x14ac:dyDescent="0.25">
      <c r="A115" s="91"/>
      <c r="B115" s="110" t="s">
        <v>55</v>
      </c>
      <c r="C115" s="83">
        <f>+G47</f>
        <v>176000</v>
      </c>
      <c r="D115" s="111">
        <f>(C115/C119)</f>
        <v>2.6558206575603503E-2</v>
      </c>
      <c r="E115" s="81"/>
      <c r="F115" s="81"/>
      <c r="G115" s="88"/>
    </row>
    <row r="116" spans="1:7" ht="12" customHeight="1" x14ac:dyDescent="0.25">
      <c r="A116" s="91"/>
      <c r="B116" s="110" t="s">
        <v>26</v>
      </c>
      <c r="C116" s="83">
        <f>+G86</f>
        <v>4075384.2849999997</v>
      </c>
      <c r="D116" s="111">
        <f>(C116/C119)</f>
        <v>0.61497100974998964</v>
      </c>
      <c r="E116" s="81"/>
      <c r="F116" s="81"/>
      <c r="G116" s="88"/>
    </row>
    <row r="117" spans="1:7" ht="12" customHeight="1" x14ac:dyDescent="0.25">
      <c r="A117" s="91"/>
      <c r="B117" s="110" t="s">
        <v>56</v>
      </c>
      <c r="C117" s="85">
        <f>+G94</f>
        <v>0</v>
      </c>
      <c r="D117" s="111">
        <f>(C117/C119)</f>
        <v>0</v>
      </c>
      <c r="E117" s="87"/>
      <c r="F117" s="87"/>
      <c r="G117" s="88"/>
    </row>
    <row r="118" spans="1:7" ht="12" customHeight="1" x14ac:dyDescent="0.25">
      <c r="A118" s="91"/>
      <c r="B118" s="110" t="s">
        <v>57</v>
      </c>
      <c r="C118" s="85">
        <f>+G97</f>
        <v>315569.21425000002</v>
      </c>
      <c r="D118" s="111">
        <f>(C118/C119)</f>
        <v>4.7619047619047616E-2</v>
      </c>
      <c r="E118" s="87"/>
      <c r="F118" s="87"/>
      <c r="G118" s="88"/>
    </row>
    <row r="119" spans="1:7" ht="12.75" customHeight="1" thickBot="1" x14ac:dyDescent="0.3">
      <c r="A119" s="91"/>
      <c r="B119" s="112" t="s">
        <v>58</v>
      </c>
      <c r="C119" s="113">
        <f>SUM(C113:C118)</f>
        <v>6626953.4992500003</v>
      </c>
      <c r="D119" s="114">
        <f>SUM(D113:D118)</f>
        <v>1</v>
      </c>
      <c r="E119" s="87"/>
      <c r="F119" s="87"/>
      <c r="G119" s="88"/>
    </row>
    <row r="120" spans="1:7" ht="12" customHeight="1" x14ac:dyDescent="0.25">
      <c r="A120" s="91"/>
      <c r="B120" s="106"/>
      <c r="C120" s="93"/>
      <c r="D120" s="93"/>
      <c r="E120" s="93"/>
      <c r="F120" s="93"/>
      <c r="G120" s="88"/>
    </row>
    <row r="121" spans="1:7" ht="12.75" customHeight="1" x14ac:dyDescent="0.25">
      <c r="A121" s="91"/>
      <c r="B121" s="107"/>
      <c r="C121" s="93"/>
      <c r="D121" s="93"/>
      <c r="E121" s="93"/>
      <c r="F121" s="93"/>
      <c r="G121" s="88"/>
    </row>
    <row r="122" spans="1:7" ht="12" customHeight="1" thickBot="1" x14ac:dyDescent="0.3">
      <c r="A122" s="80"/>
      <c r="B122" s="127"/>
      <c r="C122" s="128" t="s">
        <v>137</v>
      </c>
      <c r="D122" s="129"/>
      <c r="E122" s="130"/>
      <c r="F122" s="86"/>
      <c r="G122" s="88"/>
    </row>
    <row r="123" spans="1:7" ht="12" customHeight="1" thickBot="1" x14ac:dyDescent="0.3">
      <c r="A123" s="91"/>
      <c r="B123" s="131" t="s">
        <v>123</v>
      </c>
      <c r="C123" s="143">
        <f>(400*5)</f>
        <v>2000</v>
      </c>
      <c r="D123" s="143">
        <f>600*5</f>
        <v>3000</v>
      </c>
      <c r="E123" s="143">
        <f>700*5</f>
        <v>3500</v>
      </c>
      <c r="F123" s="126"/>
      <c r="G123" s="89"/>
    </row>
    <row r="124" spans="1:7" ht="12.75" customHeight="1" thickBot="1" x14ac:dyDescent="0.3">
      <c r="A124" s="91"/>
      <c r="B124" s="112" t="s">
        <v>124</v>
      </c>
      <c r="C124" s="113">
        <f>+C119/C123</f>
        <v>3313.4767496250001</v>
      </c>
      <c r="D124" s="113">
        <f>+C119/D123</f>
        <v>2208.9844997499999</v>
      </c>
      <c r="E124" s="143">
        <f>+C119/E123</f>
        <v>1893.4152855000002</v>
      </c>
      <c r="F124" s="126"/>
      <c r="G124" s="89"/>
    </row>
    <row r="125" spans="1:7" ht="15.6" customHeight="1" x14ac:dyDescent="0.25">
      <c r="A125" s="91"/>
      <c r="B125" s="117" t="s">
        <v>59</v>
      </c>
      <c r="C125" s="90"/>
      <c r="D125" s="90"/>
      <c r="E125" s="90"/>
      <c r="F125" s="90"/>
      <c r="G125" s="90"/>
    </row>
  </sheetData>
  <mergeCells count="8">
    <mergeCell ref="B111:C111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6"/>
  <sheetViews>
    <sheetView topLeftCell="B1" zoomScale="110" zoomScaleNormal="110" workbookViewId="0">
      <selection activeCell="G11" sqref="G11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8" width="14.85546875" style="1" customWidth="1"/>
    <col min="9" max="9" width="11.85546875" style="1" bestFit="1" customWidth="1"/>
    <col min="10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/>
      <c r="C8" s="4"/>
      <c r="D8" s="2"/>
      <c r="E8" s="4"/>
      <c r="F8" s="4"/>
      <c r="G8" s="4"/>
    </row>
    <row r="9" spans="1:7" ht="12" customHeight="1" x14ac:dyDescent="0.25">
      <c r="A9" s="5"/>
      <c r="B9" s="6" t="s">
        <v>0</v>
      </c>
      <c r="C9" s="146" t="s">
        <v>113</v>
      </c>
      <c r="D9" s="7"/>
      <c r="E9" s="160" t="s">
        <v>126</v>
      </c>
      <c r="F9" s="161"/>
      <c r="G9" s="8">
        <f>+D114</f>
        <v>3000</v>
      </c>
    </row>
    <row r="10" spans="1:7" ht="15" x14ac:dyDescent="0.25">
      <c r="A10" s="5"/>
      <c r="B10" s="9" t="s">
        <v>1</v>
      </c>
      <c r="C10" s="10" t="s">
        <v>125</v>
      </c>
      <c r="D10" s="11"/>
      <c r="E10" s="158" t="s">
        <v>2</v>
      </c>
      <c r="F10" s="159"/>
      <c r="G10" s="13" t="s">
        <v>136</v>
      </c>
    </row>
    <row r="11" spans="1:7" ht="18" customHeight="1" x14ac:dyDescent="0.25">
      <c r="A11" s="5"/>
      <c r="B11" s="9" t="s">
        <v>3</v>
      </c>
      <c r="C11" s="13" t="s">
        <v>115</v>
      </c>
      <c r="D11" s="11"/>
      <c r="E11" s="158" t="s">
        <v>114</v>
      </c>
      <c r="F11" s="159"/>
      <c r="G11" s="149">
        <v>5000</v>
      </c>
    </row>
    <row r="12" spans="1:7" ht="15" x14ac:dyDescent="0.25">
      <c r="A12" s="5"/>
      <c r="B12" s="9" t="s">
        <v>4</v>
      </c>
      <c r="C12" s="14" t="s">
        <v>61</v>
      </c>
      <c r="D12" s="11"/>
      <c r="E12" s="151" t="s">
        <v>5</v>
      </c>
      <c r="F12" s="152"/>
      <c r="G12" s="17">
        <f>+G11*G9</f>
        <v>15000000</v>
      </c>
    </row>
    <row r="13" spans="1:7" ht="25.5" x14ac:dyDescent="0.25">
      <c r="A13" s="5"/>
      <c r="B13" s="9" t="s">
        <v>6</v>
      </c>
      <c r="C13" s="13" t="s">
        <v>135</v>
      </c>
      <c r="D13" s="11"/>
      <c r="E13" s="158" t="s">
        <v>7</v>
      </c>
      <c r="F13" s="159"/>
      <c r="G13" s="14" t="s">
        <v>127</v>
      </c>
    </row>
    <row r="14" spans="1:7" ht="15" x14ac:dyDescent="0.25">
      <c r="A14" s="5"/>
      <c r="B14" s="9" t="s">
        <v>8</v>
      </c>
      <c r="C14" s="13" t="s">
        <v>60</v>
      </c>
      <c r="D14" s="11"/>
      <c r="E14" s="158" t="s">
        <v>9</v>
      </c>
      <c r="F14" s="159"/>
      <c r="G14" s="13" t="s">
        <v>62</v>
      </c>
    </row>
    <row r="15" spans="1:7" ht="25.5" customHeight="1" x14ac:dyDescent="0.25">
      <c r="A15" s="5"/>
      <c r="B15" s="9" t="s">
        <v>10</v>
      </c>
      <c r="C15" s="18">
        <v>44228</v>
      </c>
      <c r="D15" s="11"/>
      <c r="E15" s="162" t="s">
        <v>11</v>
      </c>
      <c r="F15" s="163"/>
      <c r="G15" s="14"/>
    </row>
    <row r="16" spans="1:7" ht="12" customHeight="1" x14ac:dyDescent="0.25">
      <c r="A16" s="2"/>
      <c r="B16" s="19"/>
      <c r="C16" s="20"/>
      <c r="D16" s="21"/>
      <c r="E16" s="22"/>
      <c r="F16" s="22"/>
      <c r="G16" s="23"/>
    </row>
    <row r="17" spans="1:8" ht="12" customHeight="1" x14ac:dyDescent="0.25">
      <c r="A17" s="24"/>
      <c r="B17" s="164" t="s">
        <v>96</v>
      </c>
      <c r="C17" s="165"/>
      <c r="D17" s="165"/>
      <c r="E17" s="165"/>
      <c r="F17" s="165"/>
      <c r="G17" s="165"/>
    </row>
    <row r="18" spans="1:8" ht="12" customHeight="1" x14ac:dyDescent="0.25">
      <c r="A18" s="2"/>
      <c r="B18" s="25"/>
      <c r="C18" s="26"/>
      <c r="D18" s="26"/>
      <c r="E18" s="26"/>
      <c r="F18" s="27"/>
      <c r="G18" s="27"/>
    </row>
    <row r="19" spans="1:8" ht="12" customHeight="1" x14ac:dyDescent="0.25">
      <c r="A19" s="5"/>
      <c r="B19" s="28" t="s">
        <v>12</v>
      </c>
      <c r="C19" s="29"/>
      <c r="D19" s="30"/>
      <c r="E19" s="30"/>
      <c r="F19" s="30"/>
      <c r="G19" s="30"/>
    </row>
    <row r="20" spans="1:8" ht="24" customHeight="1" x14ac:dyDescent="0.25">
      <c r="A20" s="24"/>
      <c r="B20" s="31" t="s">
        <v>13</v>
      </c>
      <c r="C20" s="31" t="s">
        <v>14</v>
      </c>
      <c r="D20" s="31" t="s">
        <v>15</v>
      </c>
      <c r="E20" s="31" t="s">
        <v>16</v>
      </c>
      <c r="F20" s="31" t="s">
        <v>17</v>
      </c>
      <c r="G20" s="31" t="s">
        <v>18</v>
      </c>
    </row>
    <row r="21" spans="1:8" ht="12.75" customHeight="1" x14ac:dyDescent="0.25">
      <c r="A21" s="24"/>
      <c r="B21" s="150" t="s">
        <v>63</v>
      </c>
      <c r="C21" s="32" t="s">
        <v>19</v>
      </c>
      <c r="D21" s="33">
        <f>7000*4*5/20000</f>
        <v>7</v>
      </c>
      <c r="E21" s="150" t="s">
        <v>116</v>
      </c>
      <c r="F21" s="17">
        <v>26000</v>
      </c>
      <c r="G21" s="17">
        <f>+F21*D21</f>
        <v>182000</v>
      </c>
    </row>
    <row r="22" spans="1:8" ht="12.75" customHeight="1" x14ac:dyDescent="0.25">
      <c r="A22" s="24"/>
      <c r="B22" s="150" t="s">
        <v>97</v>
      </c>
      <c r="C22" s="32" t="s">
        <v>19</v>
      </c>
      <c r="D22" s="33">
        <v>2</v>
      </c>
      <c r="E22" s="150" t="s">
        <v>98</v>
      </c>
      <c r="F22" s="17">
        <v>26000</v>
      </c>
      <c r="G22" s="17">
        <f>+F22*D22</f>
        <v>52000</v>
      </c>
    </row>
    <row r="23" spans="1:8" ht="12.75" customHeight="1" x14ac:dyDescent="0.25">
      <c r="A23" s="24"/>
      <c r="B23" s="150" t="s">
        <v>66</v>
      </c>
      <c r="C23" s="32" t="s">
        <v>117</v>
      </c>
      <c r="D23" s="33"/>
      <c r="E23" s="150"/>
      <c r="F23" s="17">
        <v>26000</v>
      </c>
      <c r="G23" s="17"/>
    </row>
    <row r="24" spans="1:8" ht="12.75" customHeight="1" x14ac:dyDescent="0.25">
      <c r="A24" s="24"/>
      <c r="B24" s="150" t="s">
        <v>64</v>
      </c>
      <c r="C24" s="32" t="s">
        <v>19</v>
      </c>
      <c r="D24" s="33">
        <v>3</v>
      </c>
      <c r="E24" s="150" t="s">
        <v>99</v>
      </c>
      <c r="F24" s="17">
        <v>26000</v>
      </c>
      <c r="G24" s="17">
        <f t="shared" ref="G24:G28" si="0">+F24*D24</f>
        <v>78000</v>
      </c>
    </row>
    <row r="25" spans="1:8" ht="12.75" customHeight="1" x14ac:dyDescent="0.25">
      <c r="A25" s="24"/>
      <c r="B25" s="150" t="s">
        <v>128</v>
      </c>
      <c r="C25" s="32" t="s">
        <v>19</v>
      </c>
      <c r="D25" s="33">
        <v>5</v>
      </c>
      <c r="E25" s="150" t="s">
        <v>129</v>
      </c>
      <c r="F25" s="17">
        <v>26000</v>
      </c>
      <c r="G25" s="17">
        <f t="shared" si="0"/>
        <v>130000</v>
      </c>
    </row>
    <row r="26" spans="1:8" ht="12.75" customHeight="1" x14ac:dyDescent="0.25">
      <c r="A26" s="24"/>
      <c r="B26" s="150" t="s">
        <v>65</v>
      </c>
      <c r="C26" s="32" t="s">
        <v>19</v>
      </c>
      <c r="D26" s="33">
        <f>500*5*2/100</f>
        <v>50</v>
      </c>
      <c r="E26" s="150" t="s">
        <v>130</v>
      </c>
      <c r="F26" s="17">
        <v>26000</v>
      </c>
      <c r="G26" s="17">
        <f t="shared" si="0"/>
        <v>1300000</v>
      </c>
    </row>
    <row r="27" spans="1:8" ht="12.75" customHeight="1" x14ac:dyDescent="0.25">
      <c r="A27" s="24"/>
      <c r="B27" s="139" t="s">
        <v>82</v>
      </c>
      <c r="C27" s="32" t="s">
        <v>19</v>
      </c>
      <c r="D27" s="33">
        <v>30</v>
      </c>
      <c r="E27" s="150" t="s">
        <v>99</v>
      </c>
      <c r="F27" s="17">
        <v>26000</v>
      </c>
      <c r="G27" s="17">
        <f t="shared" si="0"/>
        <v>780000</v>
      </c>
    </row>
    <row r="28" spans="1:8" ht="12.75" customHeight="1" x14ac:dyDescent="0.25">
      <c r="A28" s="24"/>
      <c r="B28" s="139" t="s">
        <v>83</v>
      </c>
      <c r="C28" s="32" t="s">
        <v>19</v>
      </c>
      <c r="D28" s="33">
        <f>30000*5/20000</f>
        <v>7.5</v>
      </c>
      <c r="E28" s="150" t="s">
        <v>129</v>
      </c>
      <c r="F28" s="17">
        <v>40000</v>
      </c>
      <c r="G28" s="17">
        <f t="shared" si="0"/>
        <v>300000</v>
      </c>
    </row>
    <row r="29" spans="1:8" ht="12.75" customHeight="1" x14ac:dyDescent="0.25">
      <c r="A29" s="24"/>
      <c r="B29" s="139"/>
      <c r="C29" s="32"/>
      <c r="D29" s="33"/>
      <c r="E29" s="150"/>
      <c r="F29" s="17"/>
      <c r="G29" s="17"/>
    </row>
    <row r="30" spans="1:8" ht="12.75" customHeight="1" x14ac:dyDescent="0.25">
      <c r="A30" s="24"/>
      <c r="B30" s="34" t="s">
        <v>20</v>
      </c>
      <c r="C30" s="35"/>
      <c r="D30" s="35"/>
      <c r="E30" s="35"/>
      <c r="F30" s="36"/>
      <c r="G30" s="37">
        <f>SUM(G24:G29)</f>
        <v>2588000</v>
      </c>
      <c r="H30" s="145"/>
    </row>
    <row r="31" spans="1:8" ht="12" customHeight="1" x14ac:dyDescent="0.25">
      <c r="A31" s="2"/>
      <c r="B31" s="25"/>
      <c r="C31" s="27"/>
      <c r="D31" s="27"/>
      <c r="E31" s="27"/>
      <c r="F31" s="38"/>
      <c r="G31" s="38"/>
    </row>
    <row r="32" spans="1:8" ht="12" customHeight="1" x14ac:dyDescent="0.25">
      <c r="A32" s="5"/>
      <c r="B32" s="39" t="s">
        <v>21</v>
      </c>
      <c r="C32" s="40"/>
      <c r="D32" s="41"/>
      <c r="E32" s="41"/>
      <c r="F32" s="42"/>
      <c r="G32" s="42"/>
    </row>
    <row r="33" spans="1:11" ht="24" customHeight="1" x14ac:dyDescent="0.25">
      <c r="A33" s="5"/>
      <c r="B33" s="43" t="s">
        <v>13</v>
      </c>
      <c r="C33" s="44" t="s">
        <v>14</v>
      </c>
      <c r="D33" s="44" t="s">
        <v>15</v>
      </c>
      <c r="E33" s="43" t="s">
        <v>16</v>
      </c>
      <c r="F33" s="44" t="s">
        <v>17</v>
      </c>
      <c r="G33" s="43" t="s">
        <v>18</v>
      </c>
    </row>
    <row r="34" spans="1:11" ht="12" customHeight="1" x14ac:dyDescent="0.25">
      <c r="A34" s="5"/>
      <c r="B34" s="45"/>
      <c r="C34" s="46"/>
      <c r="D34" s="46"/>
      <c r="E34" s="46"/>
      <c r="F34" s="45"/>
      <c r="G34" s="45"/>
    </row>
    <row r="35" spans="1:11" ht="12" customHeight="1" x14ac:dyDescent="0.25">
      <c r="A35" s="5"/>
      <c r="B35" s="47" t="s">
        <v>22</v>
      </c>
      <c r="C35" s="48"/>
      <c r="D35" s="48"/>
      <c r="E35" s="48"/>
      <c r="F35" s="49"/>
      <c r="G35" s="49"/>
    </row>
    <row r="36" spans="1:11" ht="12" customHeight="1" x14ac:dyDescent="0.25">
      <c r="A36" s="2"/>
      <c r="B36" s="50"/>
      <c r="C36" s="51"/>
      <c r="D36" s="51"/>
      <c r="E36" s="51"/>
      <c r="F36" s="52"/>
      <c r="G36" s="52"/>
    </row>
    <row r="37" spans="1:11" ht="12" customHeight="1" x14ac:dyDescent="0.25">
      <c r="A37" s="5"/>
      <c r="B37" s="39" t="s">
        <v>23</v>
      </c>
      <c r="C37" s="40"/>
      <c r="D37" s="41"/>
      <c r="E37" s="41"/>
      <c r="F37" s="42"/>
      <c r="G37" s="42"/>
    </row>
    <row r="38" spans="1:11" ht="24" customHeight="1" x14ac:dyDescent="0.25">
      <c r="A38" s="5"/>
      <c r="B38" s="53" t="s">
        <v>13</v>
      </c>
      <c r="C38" s="53" t="s">
        <v>14</v>
      </c>
      <c r="D38" s="53" t="s">
        <v>15</v>
      </c>
      <c r="E38" s="53" t="s">
        <v>16</v>
      </c>
      <c r="F38" s="54" t="s">
        <v>17</v>
      </c>
      <c r="G38" s="53" t="s">
        <v>18</v>
      </c>
    </row>
    <row r="39" spans="1:11" ht="12.75" customHeight="1" x14ac:dyDescent="0.25">
      <c r="A39" s="24"/>
      <c r="B39" s="150" t="s">
        <v>67</v>
      </c>
      <c r="C39" s="32" t="s">
        <v>139</v>
      </c>
      <c r="D39" s="33">
        <v>1</v>
      </c>
      <c r="E39" s="14" t="s">
        <v>118</v>
      </c>
      <c r="F39" s="17">
        <v>180000</v>
      </c>
      <c r="G39" s="17">
        <f>+F39*D39</f>
        <v>180000</v>
      </c>
    </row>
    <row r="40" spans="1:11" ht="12.75" customHeight="1" x14ac:dyDescent="0.25">
      <c r="A40" s="24"/>
      <c r="B40" s="150"/>
      <c r="C40" s="32"/>
      <c r="D40" s="33"/>
      <c r="E40" s="14"/>
      <c r="F40" s="17"/>
      <c r="G40" s="17"/>
    </row>
    <row r="41" spans="1:11" ht="12.75" customHeight="1" x14ac:dyDescent="0.25">
      <c r="A41" s="5"/>
      <c r="B41" s="55" t="s">
        <v>24</v>
      </c>
      <c r="C41" s="56"/>
      <c r="D41" s="56"/>
      <c r="E41" s="56"/>
      <c r="F41" s="57"/>
      <c r="G41" s="58">
        <f>SUM(G39:G40)</f>
        <v>180000</v>
      </c>
    </row>
    <row r="42" spans="1:11" ht="12" customHeight="1" x14ac:dyDescent="0.25">
      <c r="A42" s="2"/>
      <c r="B42" s="50"/>
      <c r="C42" s="51"/>
      <c r="D42" s="51"/>
      <c r="E42" s="51"/>
      <c r="F42" s="52"/>
      <c r="G42" s="52"/>
    </row>
    <row r="43" spans="1:11" ht="12" customHeight="1" x14ac:dyDescent="0.25">
      <c r="A43" s="5"/>
      <c r="B43" s="39" t="s">
        <v>25</v>
      </c>
      <c r="C43" s="40"/>
      <c r="D43" s="41"/>
      <c r="E43" s="41"/>
      <c r="F43" s="42"/>
      <c r="G43" s="42"/>
    </row>
    <row r="44" spans="1:11" ht="24" customHeight="1" x14ac:dyDescent="0.25">
      <c r="A44" s="5"/>
      <c r="B44" s="54" t="s">
        <v>26</v>
      </c>
      <c r="C44" s="54" t="s">
        <v>27</v>
      </c>
      <c r="D44" s="54" t="s">
        <v>28</v>
      </c>
      <c r="E44" s="54" t="s">
        <v>16</v>
      </c>
      <c r="F44" s="54" t="s">
        <v>17</v>
      </c>
      <c r="G44" s="54" t="s">
        <v>18</v>
      </c>
      <c r="K44" s="132"/>
    </row>
    <row r="45" spans="1:11" ht="12.75" customHeight="1" x14ac:dyDescent="0.25">
      <c r="A45" s="24"/>
      <c r="B45" s="151" t="s">
        <v>138</v>
      </c>
      <c r="C45" s="63" t="s">
        <v>69</v>
      </c>
      <c r="D45" s="152">
        <f>1000*4*5</f>
        <v>20000</v>
      </c>
      <c r="E45" s="63" t="s">
        <v>100</v>
      </c>
      <c r="F45" s="61">
        <f>LISIANTHUS!F51*'Al 22.06.22'!$I$45</f>
        <v>114.94999999999999</v>
      </c>
      <c r="G45" s="61">
        <f>+F45*D45</f>
        <v>2299000</v>
      </c>
      <c r="I45" s="1">
        <v>1.0449999999999999</v>
      </c>
    </row>
    <row r="46" spans="1:11" ht="12.75" customHeight="1" x14ac:dyDescent="0.25">
      <c r="A46" s="24"/>
      <c r="B46" s="62" t="s">
        <v>29</v>
      </c>
      <c r="C46" s="63"/>
      <c r="D46" s="152"/>
      <c r="E46" s="63"/>
      <c r="F46" s="61">
        <f>LISIANTHUS!F52*'Al 22.06.22'!$I$45</f>
        <v>0</v>
      </c>
      <c r="G46" s="61"/>
    </row>
    <row r="47" spans="1:11" ht="12.75" customHeight="1" x14ac:dyDescent="0.25">
      <c r="A47" s="24"/>
      <c r="B47" s="151" t="s">
        <v>70</v>
      </c>
      <c r="C47" s="63" t="s">
        <v>30</v>
      </c>
      <c r="D47" s="152">
        <v>50</v>
      </c>
      <c r="E47" s="63" t="s">
        <v>68</v>
      </c>
      <c r="F47" s="61">
        <f>LISIANTHUS!F53*'Al 22.06.22'!$I$45</f>
        <v>1839.1999999999998</v>
      </c>
      <c r="G47" s="61">
        <f>+F47*D47</f>
        <v>91959.999999999985</v>
      </c>
    </row>
    <row r="48" spans="1:11" ht="12.75" customHeight="1" x14ac:dyDescent="0.25">
      <c r="A48" s="24"/>
      <c r="B48" s="151" t="s">
        <v>71</v>
      </c>
      <c r="C48" s="63" t="s">
        <v>30</v>
      </c>
      <c r="D48" s="152">
        <v>25</v>
      </c>
      <c r="E48" s="63" t="s">
        <v>68</v>
      </c>
      <c r="F48" s="61">
        <f>LISIANTHUS!F54*'Al 22.06.22'!$I$45</f>
        <v>1337.6</v>
      </c>
      <c r="G48" s="61">
        <f>+F48*D48</f>
        <v>33440</v>
      </c>
    </row>
    <row r="49" spans="1:7" ht="12.75" customHeight="1" x14ac:dyDescent="0.25">
      <c r="A49" s="24"/>
      <c r="B49" s="151" t="s">
        <v>72</v>
      </c>
      <c r="C49" s="59" t="s">
        <v>30</v>
      </c>
      <c r="D49" s="60">
        <v>25</v>
      </c>
      <c r="E49" s="59" t="s">
        <v>68</v>
      </c>
      <c r="F49" s="61">
        <f>LISIANTHUS!F55*'Al 22.06.22'!$I$45</f>
        <v>953.04</v>
      </c>
      <c r="G49" s="61">
        <f>(D49*F49)</f>
        <v>23826</v>
      </c>
    </row>
    <row r="50" spans="1:7" ht="12.75" customHeight="1" x14ac:dyDescent="0.25">
      <c r="A50" s="24"/>
      <c r="B50" s="151" t="s">
        <v>73</v>
      </c>
      <c r="C50" s="59" t="s">
        <v>31</v>
      </c>
      <c r="D50" s="60">
        <v>25</v>
      </c>
      <c r="E50" s="59" t="s">
        <v>68</v>
      </c>
      <c r="F50" s="61">
        <f>LISIANTHUS!F56*'Al 22.06.22'!$I$45</f>
        <v>1880.9999999999998</v>
      </c>
      <c r="G50" s="61">
        <f>(D50*F50)</f>
        <v>47024.999999999993</v>
      </c>
    </row>
    <row r="51" spans="1:7" ht="12.75" customHeight="1" x14ac:dyDescent="0.25">
      <c r="A51" s="24"/>
      <c r="B51" s="151" t="s">
        <v>74</v>
      </c>
      <c r="C51" s="59" t="s">
        <v>30</v>
      </c>
      <c r="D51" s="60">
        <v>50</v>
      </c>
      <c r="E51" s="59" t="s">
        <v>68</v>
      </c>
      <c r="F51" s="61">
        <f>LISIANTHUS!F57*'Al 22.06.22'!$I$45</f>
        <v>1463</v>
      </c>
      <c r="G51" s="61">
        <f>+F51*D51</f>
        <v>73150</v>
      </c>
    </row>
    <row r="52" spans="1:7" ht="12.75" customHeight="1" x14ac:dyDescent="0.25">
      <c r="A52" s="24"/>
      <c r="B52" s="151" t="s">
        <v>109</v>
      </c>
      <c r="C52" s="59" t="s">
        <v>110</v>
      </c>
      <c r="D52" s="60">
        <v>1</v>
      </c>
      <c r="E52" s="59" t="s">
        <v>68</v>
      </c>
      <c r="F52" s="61">
        <f>LISIANTHUS!F58*'Al 22.06.22'!$I$45</f>
        <v>54130.487949999988</v>
      </c>
      <c r="G52" s="61">
        <f>+F52*D52</f>
        <v>54130.487949999988</v>
      </c>
    </row>
    <row r="53" spans="1:7" ht="12.75" customHeight="1" x14ac:dyDescent="0.25">
      <c r="A53" s="24"/>
      <c r="B53" s="151"/>
      <c r="C53" s="59"/>
      <c r="D53" s="60"/>
      <c r="E53" s="59"/>
      <c r="F53" s="61">
        <f>LISIANTHUS!F59*'Al 22.06.22'!$I$45</f>
        <v>0</v>
      </c>
      <c r="G53" s="61"/>
    </row>
    <row r="54" spans="1:7" ht="12.75" customHeight="1" x14ac:dyDescent="0.25">
      <c r="A54" s="24"/>
      <c r="B54" s="62" t="s">
        <v>32</v>
      </c>
      <c r="C54" s="63"/>
      <c r="D54" s="152"/>
      <c r="E54" s="63"/>
      <c r="F54" s="61">
        <f>LISIANTHUS!F60*'Al 22.06.22'!$I$45</f>
        <v>0</v>
      </c>
      <c r="G54" s="61"/>
    </row>
    <row r="55" spans="1:7" ht="12.75" customHeight="1" x14ac:dyDescent="0.25">
      <c r="A55" s="24"/>
      <c r="B55" s="151" t="s">
        <v>75</v>
      </c>
      <c r="C55" s="59" t="s">
        <v>76</v>
      </c>
      <c r="D55" s="60">
        <v>1</v>
      </c>
      <c r="E55" s="59" t="s">
        <v>68</v>
      </c>
      <c r="F55" s="61">
        <f>LISIANTHUS!F61*'Al 22.06.22'!$I$45</f>
        <v>30514.229899999995</v>
      </c>
      <c r="G55" s="61">
        <f>+F55*D55</f>
        <v>30514.229899999995</v>
      </c>
    </row>
    <row r="56" spans="1:7" ht="12.75" customHeight="1" x14ac:dyDescent="0.25">
      <c r="A56" s="24"/>
      <c r="B56" s="151" t="s">
        <v>77</v>
      </c>
      <c r="C56" s="59" t="s">
        <v>78</v>
      </c>
      <c r="D56" s="60">
        <v>2</v>
      </c>
      <c r="E56" s="59" t="s">
        <v>68</v>
      </c>
      <c r="F56" s="61">
        <f>LISIANTHUS!F62*'Al 22.06.22'!$I$45</f>
        <v>14629.999999999998</v>
      </c>
      <c r="G56" s="61">
        <f>+F56*D56</f>
        <v>29259.999999999996</v>
      </c>
    </row>
    <row r="57" spans="1:7" ht="12.75" customHeight="1" x14ac:dyDescent="0.25">
      <c r="A57" s="24"/>
      <c r="B57" s="62" t="s">
        <v>91</v>
      </c>
      <c r="C57" s="63"/>
      <c r="D57" s="152"/>
      <c r="E57" s="63"/>
      <c r="F57" s="61">
        <f>LISIANTHUS!F63*'Al 22.06.22'!$I$45</f>
        <v>0</v>
      </c>
      <c r="G57" s="61"/>
    </row>
    <row r="58" spans="1:7" ht="12.75" customHeight="1" x14ac:dyDescent="0.25">
      <c r="A58" s="24"/>
      <c r="B58" s="151" t="s">
        <v>87</v>
      </c>
      <c r="C58" s="59" t="s">
        <v>88</v>
      </c>
      <c r="D58" s="60">
        <v>0.5</v>
      </c>
      <c r="E58" s="59" t="s">
        <v>68</v>
      </c>
      <c r="F58" s="61">
        <f>LISIANTHUS!F64*'Al 22.06.22'!$I$45</f>
        <v>101261.03294999999</v>
      </c>
      <c r="G58" s="144">
        <f t="shared" ref="G58:G63" si="1">+F58*D58</f>
        <v>50630.516474999997</v>
      </c>
    </row>
    <row r="59" spans="1:7" ht="12.75" customHeight="1" x14ac:dyDescent="0.25">
      <c r="A59" s="24"/>
      <c r="B59" s="151" t="s">
        <v>79</v>
      </c>
      <c r="C59" s="59" t="s">
        <v>88</v>
      </c>
      <c r="D59" s="60">
        <v>1</v>
      </c>
      <c r="E59" s="59" t="s">
        <v>68</v>
      </c>
      <c r="F59" s="61">
        <f>LISIANTHUS!F65*'Al 22.06.22'!$I$45</f>
        <v>28214.999999999996</v>
      </c>
      <c r="G59" s="144">
        <f t="shared" si="1"/>
        <v>28214.999999999996</v>
      </c>
    </row>
    <row r="60" spans="1:7" ht="12.75" customHeight="1" x14ac:dyDescent="0.25">
      <c r="A60" s="24"/>
      <c r="B60" s="151" t="s">
        <v>89</v>
      </c>
      <c r="C60" s="59" t="s">
        <v>90</v>
      </c>
      <c r="D60" s="60">
        <v>1</v>
      </c>
      <c r="E60" s="59" t="s">
        <v>68</v>
      </c>
      <c r="F60" s="61">
        <f>LISIANTHUS!F66*'Al 22.06.22'!$I$45</f>
        <v>36882.229999999996</v>
      </c>
      <c r="G60" s="144">
        <f t="shared" si="1"/>
        <v>36882.229999999996</v>
      </c>
    </row>
    <row r="61" spans="1:7" ht="12.75" customHeight="1" x14ac:dyDescent="0.25">
      <c r="A61" s="24"/>
      <c r="B61" s="151" t="s">
        <v>119</v>
      </c>
      <c r="C61" s="59" t="s">
        <v>120</v>
      </c>
      <c r="D61" s="60">
        <v>1</v>
      </c>
      <c r="E61" s="59" t="s">
        <v>121</v>
      </c>
      <c r="F61" s="61">
        <f>LISIANTHUS!F67*'Al 22.06.22'!$I$45</f>
        <v>223838.99999999997</v>
      </c>
      <c r="G61" s="144">
        <f t="shared" si="1"/>
        <v>223838.99999999997</v>
      </c>
    </row>
    <row r="62" spans="1:7" ht="12.75" customHeight="1" x14ac:dyDescent="0.25">
      <c r="A62" s="24"/>
      <c r="B62" s="151" t="s">
        <v>104</v>
      </c>
      <c r="C62" s="59" t="s">
        <v>88</v>
      </c>
      <c r="D62" s="60">
        <v>0.5</v>
      </c>
      <c r="E62" s="59" t="s">
        <v>68</v>
      </c>
      <c r="F62" s="61">
        <f>LISIANTHUS!F68*'Al 22.06.22'!$I$45</f>
        <v>71060</v>
      </c>
      <c r="G62" s="144">
        <f t="shared" si="1"/>
        <v>35530</v>
      </c>
    </row>
    <row r="63" spans="1:7" ht="12.75" customHeight="1" x14ac:dyDescent="0.25">
      <c r="A63" s="24"/>
      <c r="B63" s="151" t="s">
        <v>108</v>
      </c>
      <c r="C63" s="59" t="s">
        <v>88</v>
      </c>
      <c r="D63" s="60">
        <v>1</v>
      </c>
      <c r="E63" s="59" t="s">
        <v>68</v>
      </c>
      <c r="F63" s="61">
        <f>LISIANTHUS!F69*'Al 22.06.22'!$I$45</f>
        <v>17974.271699999998</v>
      </c>
      <c r="G63" s="144">
        <f t="shared" si="1"/>
        <v>17974.271699999998</v>
      </c>
    </row>
    <row r="64" spans="1:7" ht="12.75" customHeight="1" x14ac:dyDescent="0.25">
      <c r="A64" s="24"/>
      <c r="B64" s="151" t="s">
        <v>122</v>
      </c>
      <c r="C64" s="59" t="s">
        <v>120</v>
      </c>
      <c r="D64" s="60">
        <v>1</v>
      </c>
      <c r="E64" s="59" t="s">
        <v>121</v>
      </c>
      <c r="F64" s="61">
        <f>LISIANTHUS!F70*'Al 22.06.22'!$I$45</f>
        <v>40232.573149999997</v>
      </c>
      <c r="G64" s="144">
        <f>+F64+D64</f>
        <v>40233.573149999997</v>
      </c>
    </row>
    <row r="65" spans="1:7" ht="12.75" customHeight="1" x14ac:dyDescent="0.25">
      <c r="A65" s="24"/>
      <c r="B65" s="151" t="s">
        <v>133</v>
      </c>
      <c r="C65" s="59" t="s">
        <v>134</v>
      </c>
      <c r="D65" s="60">
        <f>120*30*4*5/1000/20</f>
        <v>3.6</v>
      </c>
      <c r="E65" s="59" t="s">
        <v>118</v>
      </c>
      <c r="F65" s="61">
        <f>LISIANTHUS!F71*'Al 22.06.22'!$I$45</f>
        <v>4756.5787499999997</v>
      </c>
      <c r="G65" s="144">
        <f>+F65*D65</f>
        <v>17123.683499999999</v>
      </c>
    </row>
    <row r="66" spans="1:7" ht="12.75" customHeight="1" x14ac:dyDescent="0.25">
      <c r="A66" s="24"/>
      <c r="B66" s="62" t="s">
        <v>34</v>
      </c>
      <c r="C66" s="59"/>
      <c r="D66" s="60"/>
      <c r="E66" s="59"/>
      <c r="F66" s="61">
        <f>LISIANTHUS!F72*'Al 22.06.22'!$I$45</f>
        <v>0</v>
      </c>
      <c r="G66" s="60"/>
    </row>
    <row r="67" spans="1:7" ht="12.75" customHeight="1" x14ac:dyDescent="0.25">
      <c r="A67" s="24"/>
      <c r="B67" s="151" t="s">
        <v>131</v>
      </c>
      <c r="C67" s="59" t="s">
        <v>132</v>
      </c>
      <c r="D67" s="60">
        <v>5</v>
      </c>
      <c r="E67" s="59" t="s">
        <v>118</v>
      </c>
      <c r="F67" s="61">
        <f>LISIANTHUS!F73*'Al 22.06.22'!$I$45</f>
        <v>26125</v>
      </c>
      <c r="G67" s="144">
        <f>+F67*D67</f>
        <v>130625</v>
      </c>
    </row>
    <row r="68" spans="1:7" ht="12.75" customHeight="1" x14ac:dyDescent="0.25">
      <c r="A68" s="24"/>
      <c r="B68" s="151" t="s">
        <v>107</v>
      </c>
      <c r="C68" s="59" t="s">
        <v>88</v>
      </c>
      <c r="D68" s="60">
        <v>1</v>
      </c>
      <c r="E68" s="59" t="s">
        <v>68</v>
      </c>
      <c r="F68" s="61">
        <f>LISIANTHUS!F74*'Al 22.06.22'!$I$45</f>
        <v>30827.604499999998</v>
      </c>
      <c r="G68" s="144">
        <f t="shared" ref="G68:G76" si="2">+F68*D68</f>
        <v>30827.604499999998</v>
      </c>
    </row>
    <row r="69" spans="1:7" ht="12.75" customHeight="1" x14ac:dyDescent="0.25">
      <c r="A69" s="24"/>
      <c r="B69" s="151" t="s">
        <v>106</v>
      </c>
      <c r="C69" s="59" t="s">
        <v>88</v>
      </c>
      <c r="D69" s="60">
        <v>2</v>
      </c>
      <c r="E69" s="59" t="s">
        <v>68</v>
      </c>
      <c r="F69" s="61">
        <f>LISIANTHUS!F76*'Al 22.06.22'!$I$45</f>
        <v>59460.343249999991</v>
      </c>
      <c r="G69" s="61">
        <f t="shared" si="2"/>
        <v>118920.68649999998</v>
      </c>
    </row>
    <row r="70" spans="1:7" ht="12.75" customHeight="1" x14ac:dyDescent="0.25">
      <c r="A70" s="24"/>
      <c r="B70" s="151" t="s">
        <v>105</v>
      </c>
      <c r="C70" s="59" t="s">
        <v>78</v>
      </c>
      <c r="D70" s="60">
        <v>2</v>
      </c>
      <c r="E70" s="59" t="s">
        <v>68</v>
      </c>
      <c r="F70" s="61">
        <f>LISIANTHUS!F77*'Al 22.06.22'!$I$45</f>
        <v>140030</v>
      </c>
      <c r="G70" s="61">
        <f t="shared" si="2"/>
        <v>280060</v>
      </c>
    </row>
    <row r="71" spans="1:7" ht="12.75" customHeight="1" x14ac:dyDescent="0.25">
      <c r="A71" s="24"/>
      <c r="B71" s="151" t="s">
        <v>80</v>
      </c>
      <c r="C71" s="59" t="s">
        <v>93</v>
      </c>
      <c r="D71" s="60">
        <v>1</v>
      </c>
      <c r="E71" s="59" t="s">
        <v>68</v>
      </c>
      <c r="F71" s="61" t="e">
        <f>LISIANTHUS!#REF!*'Al 22.06.22'!$I$45</f>
        <v>#REF!</v>
      </c>
      <c r="G71" s="61" t="e">
        <f t="shared" si="2"/>
        <v>#REF!</v>
      </c>
    </row>
    <row r="72" spans="1:7" ht="12.75" customHeight="1" x14ac:dyDescent="0.25">
      <c r="A72" s="24"/>
      <c r="B72" s="151" t="s">
        <v>112</v>
      </c>
      <c r="C72" s="59" t="s">
        <v>111</v>
      </c>
      <c r="D72" s="60">
        <v>1.5</v>
      </c>
      <c r="E72" s="59" t="s">
        <v>85</v>
      </c>
      <c r="F72" s="61" t="e">
        <f>LISIANTHUS!#REF!*'Al 22.06.22'!$I$45</f>
        <v>#REF!</v>
      </c>
      <c r="G72" s="61" t="e">
        <f t="shared" si="2"/>
        <v>#REF!</v>
      </c>
    </row>
    <row r="73" spans="1:7" ht="12.75" customHeight="1" x14ac:dyDescent="0.25">
      <c r="A73" s="24"/>
      <c r="B73" s="151" t="s">
        <v>84</v>
      </c>
      <c r="C73" s="59" t="s">
        <v>86</v>
      </c>
      <c r="D73" s="60">
        <v>0.5</v>
      </c>
      <c r="E73" s="59" t="s">
        <v>85</v>
      </c>
      <c r="F73" s="61">
        <f>LISIANTHUS!F82*'Al 22.06.22'!$I$45</f>
        <v>67925</v>
      </c>
      <c r="G73" s="61">
        <f t="shared" si="2"/>
        <v>33962.5</v>
      </c>
    </row>
    <row r="74" spans="1:7" ht="12.75" customHeight="1" x14ac:dyDescent="0.25">
      <c r="A74" s="24"/>
      <c r="B74" s="140" t="s">
        <v>94</v>
      </c>
      <c r="C74" s="141" t="s">
        <v>95</v>
      </c>
      <c r="D74" s="142">
        <f>32*4*4*5</f>
        <v>2560</v>
      </c>
      <c r="E74" s="141" t="s">
        <v>85</v>
      </c>
      <c r="F74" s="61">
        <f>LISIANTHUS!F83*'Al 22.06.22'!$I$45</f>
        <v>51.204999999999998</v>
      </c>
      <c r="G74" s="137">
        <f t="shared" si="2"/>
        <v>131084.79999999999</v>
      </c>
    </row>
    <row r="75" spans="1:7" ht="12.75" customHeight="1" x14ac:dyDescent="0.25">
      <c r="A75" s="24"/>
      <c r="B75" s="140" t="s">
        <v>102</v>
      </c>
      <c r="C75" s="141" t="s">
        <v>103</v>
      </c>
      <c r="D75" s="142">
        <v>1</v>
      </c>
      <c r="E75" s="141" t="s">
        <v>68</v>
      </c>
      <c r="F75" s="61">
        <f>LISIANTHUS!F84*'Al 22.06.22'!$I$45</f>
        <v>67925</v>
      </c>
      <c r="G75" s="137">
        <f t="shared" si="2"/>
        <v>67925</v>
      </c>
    </row>
    <row r="76" spans="1:7" ht="12.75" customHeight="1" x14ac:dyDescent="0.25">
      <c r="A76" s="24"/>
      <c r="B76" s="64" t="s">
        <v>101</v>
      </c>
      <c r="C76" s="65" t="s">
        <v>92</v>
      </c>
      <c r="D76" s="66">
        <v>12</v>
      </c>
      <c r="E76" s="65" t="s">
        <v>68</v>
      </c>
      <c r="F76" s="61">
        <f>LISIANTHUS!F85*'Al 22.06.22'!$I$45</f>
        <v>0</v>
      </c>
      <c r="G76" s="67">
        <f t="shared" si="2"/>
        <v>0</v>
      </c>
    </row>
    <row r="77" spans="1:7" ht="13.5" customHeight="1" x14ac:dyDescent="0.25">
      <c r="A77" s="5"/>
      <c r="B77" s="68" t="s">
        <v>33</v>
      </c>
      <c r="C77" s="69"/>
      <c r="D77" s="69"/>
      <c r="E77" s="69"/>
      <c r="F77" s="70"/>
      <c r="G77" s="71" t="e">
        <f>SUM(G45:G76)</f>
        <v>#REF!</v>
      </c>
    </row>
    <row r="78" spans="1:7" ht="12" customHeight="1" x14ac:dyDescent="0.25">
      <c r="A78" s="2"/>
      <c r="B78" s="50"/>
      <c r="C78" s="51"/>
      <c r="D78" s="51"/>
      <c r="E78" s="72"/>
      <c r="F78" s="52"/>
      <c r="G78" s="52"/>
    </row>
    <row r="79" spans="1:7" ht="12" customHeight="1" x14ac:dyDescent="0.25">
      <c r="A79" s="138" t="s">
        <v>81</v>
      </c>
      <c r="B79" s="50"/>
      <c r="C79" s="51"/>
      <c r="D79" s="51"/>
      <c r="E79" s="72"/>
      <c r="F79" s="52"/>
      <c r="G79" s="52"/>
    </row>
    <row r="80" spans="1:7" ht="12" customHeight="1" x14ac:dyDescent="0.25">
      <c r="A80" s="5"/>
      <c r="B80" s="39" t="s">
        <v>34</v>
      </c>
      <c r="C80" s="40"/>
      <c r="D80" s="41"/>
      <c r="E80" s="41"/>
      <c r="F80" s="42"/>
      <c r="G80" s="42"/>
    </row>
    <row r="81" spans="1:9" ht="24" customHeight="1" x14ac:dyDescent="0.25">
      <c r="A81" s="5"/>
      <c r="B81" s="53" t="s">
        <v>35</v>
      </c>
      <c r="C81" s="54" t="s">
        <v>27</v>
      </c>
      <c r="D81" s="54" t="s">
        <v>28</v>
      </c>
      <c r="E81" s="53" t="s">
        <v>16</v>
      </c>
      <c r="F81" s="54" t="s">
        <v>17</v>
      </c>
      <c r="G81" s="53" t="s">
        <v>18</v>
      </c>
    </row>
    <row r="82" spans="1:9" ht="12.75" customHeight="1" x14ac:dyDescent="0.25">
      <c r="A82" s="24"/>
      <c r="B82" s="150"/>
      <c r="C82" s="59"/>
      <c r="D82" s="61"/>
      <c r="E82" s="32"/>
      <c r="F82" s="73"/>
      <c r="G82" s="61"/>
    </row>
    <row r="83" spans="1:9" ht="12.75" customHeight="1" x14ac:dyDescent="0.25">
      <c r="A83" s="24"/>
      <c r="B83" s="150"/>
      <c r="C83" s="59"/>
      <c r="D83" s="61"/>
      <c r="E83" s="32"/>
      <c r="F83" s="73"/>
      <c r="G83" s="61"/>
    </row>
    <row r="84" spans="1:9" ht="12.75" customHeight="1" x14ac:dyDescent="0.25">
      <c r="A84" s="24"/>
      <c r="B84" s="150"/>
      <c r="C84" s="59"/>
      <c r="D84" s="61"/>
      <c r="E84" s="32"/>
      <c r="F84" s="73"/>
      <c r="G84" s="61"/>
    </row>
    <row r="85" spans="1:9" ht="13.5" customHeight="1" x14ac:dyDescent="0.25">
      <c r="A85" s="5"/>
      <c r="B85" s="74" t="s">
        <v>36</v>
      </c>
      <c r="C85" s="75"/>
      <c r="D85" s="75"/>
      <c r="E85" s="75"/>
      <c r="F85" s="76"/>
      <c r="G85" s="77">
        <f>SUM(G84)</f>
        <v>0</v>
      </c>
    </row>
    <row r="86" spans="1:9" ht="12" customHeight="1" x14ac:dyDescent="0.25">
      <c r="A86" s="2"/>
      <c r="B86" s="94"/>
      <c r="C86" s="94"/>
      <c r="D86" s="94"/>
      <c r="E86" s="94"/>
      <c r="F86" s="95"/>
      <c r="G86" s="95"/>
    </row>
    <row r="87" spans="1:9" ht="12" customHeight="1" x14ac:dyDescent="0.25">
      <c r="A87" s="91"/>
      <c r="B87" s="96" t="s">
        <v>37</v>
      </c>
      <c r="C87" s="97"/>
      <c r="D87" s="97"/>
      <c r="E87" s="97"/>
      <c r="F87" s="97"/>
      <c r="G87" s="98" t="e">
        <f>G30+G41+G77+G85</f>
        <v>#REF!</v>
      </c>
    </row>
    <row r="88" spans="1:9" ht="12" customHeight="1" x14ac:dyDescent="0.25">
      <c r="A88" s="91"/>
      <c r="B88" s="99" t="s">
        <v>38</v>
      </c>
      <c r="C88" s="79"/>
      <c r="D88" s="79"/>
      <c r="E88" s="79"/>
      <c r="F88" s="79"/>
      <c r="G88" s="100" t="e">
        <f>G87*0.05</f>
        <v>#REF!</v>
      </c>
    </row>
    <row r="89" spans="1:9" ht="12" customHeight="1" x14ac:dyDescent="0.25">
      <c r="A89" s="91"/>
      <c r="B89" s="101" t="s">
        <v>39</v>
      </c>
      <c r="C89" s="78"/>
      <c r="D89" s="78"/>
      <c r="E89" s="78"/>
      <c r="F89" s="78"/>
      <c r="G89" s="102" t="e">
        <f>G88+G87</f>
        <v>#REF!</v>
      </c>
    </row>
    <row r="90" spans="1:9" ht="12" customHeight="1" x14ac:dyDescent="0.25">
      <c r="A90" s="91"/>
      <c r="B90" s="99" t="s">
        <v>40</v>
      </c>
      <c r="C90" s="79"/>
      <c r="D90" s="79"/>
      <c r="E90" s="79"/>
      <c r="F90" s="79"/>
      <c r="G90" s="100">
        <f>G12</f>
        <v>15000000</v>
      </c>
    </row>
    <row r="91" spans="1:9" ht="12" customHeight="1" x14ac:dyDescent="0.25">
      <c r="A91" s="91"/>
      <c r="B91" s="103" t="s">
        <v>41</v>
      </c>
      <c r="C91" s="104"/>
      <c r="D91" s="104"/>
      <c r="E91" s="104"/>
      <c r="F91" s="104"/>
      <c r="G91" s="105" t="e">
        <f>G90-G89</f>
        <v>#REF!</v>
      </c>
      <c r="I91" s="147"/>
    </row>
    <row r="92" spans="1:9" ht="12" customHeight="1" x14ac:dyDescent="0.25">
      <c r="A92" s="91"/>
      <c r="B92" s="92" t="s">
        <v>42</v>
      </c>
      <c r="C92" s="93"/>
      <c r="D92" s="93"/>
      <c r="E92" s="93"/>
      <c r="F92" s="93"/>
      <c r="G92" s="88">
        <f ca="1">+G91:G92/12</f>
        <v>0</v>
      </c>
    </row>
    <row r="93" spans="1:9" ht="12.75" customHeight="1" thickBot="1" x14ac:dyDescent="0.3">
      <c r="A93" s="91"/>
      <c r="B93" s="106"/>
      <c r="C93" s="93"/>
      <c r="D93" s="93"/>
      <c r="E93" s="93"/>
      <c r="F93" s="93"/>
      <c r="G93" s="88"/>
    </row>
    <row r="94" spans="1:9" ht="12" customHeight="1" x14ac:dyDescent="0.25">
      <c r="A94" s="91"/>
      <c r="B94" s="118" t="s">
        <v>43</v>
      </c>
      <c r="C94" s="119"/>
      <c r="D94" s="119"/>
      <c r="E94" s="119"/>
      <c r="F94" s="120"/>
      <c r="G94" s="88"/>
    </row>
    <row r="95" spans="1:9" ht="12" customHeight="1" x14ac:dyDescent="0.25">
      <c r="A95" s="91"/>
      <c r="B95" s="121" t="s">
        <v>44</v>
      </c>
      <c r="C95" s="90"/>
      <c r="D95" s="90"/>
      <c r="E95" s="90"/>
      <c r="F95" s="122"/>
      <c r="G95" s="88"/>
    </row>
    <row r="96" spans="1:9" ht="12" customHeight="1" x14ac:dyDescent="0.25">
      <c r="A96" s="91"/>
      <c r="B96" s="121" t="s">
        <v>45</v>
      </c>
      <c r="C96" s="90"/>
      <c r="D96" s="90"/>
      <c r="E96" s="90"/>
      <c r="F96" s="122"/>
      <c r="G96" s="88"/>
    </row>
    <row r="97" spans="1:7" ht="12" customHeight="1" x14ac:dyDescent="0.25">
      <c r="A97" s="91"/>
      <c r="B97" s="121" t="s">
        <v>46</v>
      </c>
      <c r="C97" s="90"/>
      <c r="D97" s="90"/>
      <c r="E97" s="90"/>
      <c r="F97" s="122"/>
      <c r="G97" s="88"/>
    </row>
    <row r="98" spans="1:7" ht="12" customHeight="1" x14ac:dyDescent="0.25">
      <c r="A98" s="91"/>
      <c r="B98" s="121" t="s">
        <v>47</v>
      </c>
      <c r="C98" s="90"/>
      <c r="D98" s="90"/>
      <c r="E98" s="90"/>
      <c r="F98" s="122"/>
      <c r="G98" s="88"/>
    </row>
    <row r="99" spans="1:7" ht="12" customHeight="1" x14ac:dyDescent="0.25">
      <c r="A99" s="91"/>
      <c r="B99" s="121" t="s">
        <v>48</v>
      </c>
      <c r="C99" s="90"/>
      <c r="D99" s="90"/>
      <c r="E99" s="90"/>
      <c r="F99" s="122"/>
      <c r="G99" s="88"/>
    </row>
    <row r="100" spans="1:7" ht="12.75" customHeight="1" thickBot="1" x14ac:dyDescent="0.3">
      <c r="A100" s="91"/>
      <c r="B100" s="123" t="s">
        <v>49</v>
      </c>
      <c r="C100" s="124"/>
      <c r="D100" s="124"/>
      <c r="E100" s="124"/>
      <c r="F100" s="125"/>
      <c r="G100" s="88"/>
    </row>
    <row r="101" spans="1:7" ht="12.75" customHeight="1" x14ac:dyDescent="0.25">
      <c r="A101" s="91"/>
      <c r="B101" s="116"/>
      <c r="C101" s="90"/>
      <c r="D101" s="90"/>
      <c r="E101" s="90"/>
      <c r="F101" s="90"/>
      <c r="G101" s="88"/>
    </row>
    <row r="102" spans="1:7" ht="15" customHeight="1" thickBot="1" x14ac:dyDescent="0.3">
      <c r="A102" s="91"/>
      <c r="B102" s="156" t="s">
        <v>50</v>
      </c>
      <c r="C102" s="157"/>
      <c r="D102" s="115"/>
      <c r="E102" s="81"/>
      <c r="F102" s="81"/>
      <c r="G102" s="88"/>
    </row>
    <row r="103" spans="1:7" ht="12" customHeight="1" x14ac:dyDescent="0.25">
      <c r="A103" s="91"/>
      <c r="B103" s="108" t="s">
        <v>35</v>
      </c>
      <c r="C103" s="82" t="s">
        <v>51</v>
      </c>
      <c r="D103" s="109" t="s">
        <v>52</v>
      </c>
      <c r="E103" s="81"/>
      <c r="F103" s="81"/>
      <c r="G103" s="88"/>
    </row>
    <row r="104" spans="1:7" ht="12" customHeight="1" x14ac:dyDescent="0.25">
      <c r="A104" s="91"/>
      <c r="B104" s="110" t="s">
        <v>53</v>
      </c>
      <c r="C104" s="83">
        <f>+G30</f>
        <v>2588000</v>
      </c>
      <c r="D104" s="111" t="e">
        <f>(C104/C110)</f>
        <v>#REF!</v>
      </c>
      <c r="E104" s="81"/>
      <c r="F104" s="81"/>
      <c r="G104" s="88"/>
    </row>
    <row r="105" spans="1:7" ht="12" customHeight="1" x14ac:dyDescent="0.25">
      <c r="A105" s="91"/>
      <c r="B105" s="110" t="s">
        <v>54</v>
      </c>
      <c r="C105" s="84">
        <f>+G35</f>
        <v>0</v>
      </c>
      <c r="D105" s="111">
        <v>0</v>
      </c>
      <c r="E105" s="81"/>
      <c r="F105" s="81"/>
      <c r="G105" s="88"/>
    </row>
    <row r="106" spans="1:7" ht="12" customHeight="1" x14ac:dyDescent="0.25">
      <c r="A106" s="91"/>
      <c r="B106" s="110" t="s">
        <v>55</v>
      </c>
      <c r="C106" s="83">
        <f>+G41</f>
        <v>180000</v>
      </c>
      <c r="D106" s="111" t="e">
        <f>(C106/C110)</f>
        <v>#REF!</v>
      </c>
      <c r="E106" s="81"/>
      <c r="F106" s="81"/>
      <c r="G106" s="88"/>
    </row>
    <row r="107" spans="1:7" ht="12" customHeight="1" x14ac:dyDescent="0.25">
      <c r="A107" s="91"/>
      <c r="B107" s="110" t="s">
        <v>26</v>
      </c>
      <c r="C107" s="83" t="e">
        <f>+G77</f>
        <v>#REF!</v>
      </c>
      <c r="D107" s="111" t="e">
        <f>(C107/C110)</f>
        <v>#REF!</v>
      </c>
      <c r="E107" s="81"/>
      <c r="F107" s="81"/>
      <c r="G107" s="88"/>
    </row>
    <row r="108" spans="1:7" ht="12" customHeight="1" x14ac:dyDescent="0.25">
      <c r="A108" s="91"/>
      <c r="B108" s="110" t="s">
        <v>56</v>
      </c>
      <c r="C108" s="85">
        <f>+G85</f>
        <v>0</v>
      </c>
      <c r="D108" s="111" t="e">
        <f>(C108/C110)</f>
        <v>#REF!</v>
      </c>
      <c r="E108" s="87"/>
      <c r="F108" s="87"/>
      <c r="G108" s="88"/>
    </row>
    <row r="109" spans="1:7" ht="12" customHeight="1" x14ac:dyDescent="0.25">
      <c r="A109" s="91"/>
      <c r="B109" s="110" t="s">
        <v>57</v>
      </c>
      <c r="C109" s="85" t="e">
        <f>+G88</f>
        <v>#REF!</v>
      </c>
      <c r="D109" s="111" t="e">
        <f>(C109/C110)</f>
        <v>#REF!</v>
      </c>
      <c r="E109" s="87"/>
      <c r="F109" s="87"/>
      <c r="G109" s="88"/>
    </row>
    <row r="110" spans="1:7" ht="12.75" customHeight="1" thickBot="1" x14ac:dyDescent="0.3">
      <c r="A110" s="91"/>
      <c r="B110" s="112" t="s">
        <v>58</v>
      </c>
      <c r="C110" s="113" t="e">
        <f>SUM(C104:C109)</f>
        <v>#REF!</v>
      </c>
      <c r="D110" s="114" t="e">
        <f>SUM(D104:D109)</f>
        <v>#REF!</v>
      </c>
      <c r="E110" s="87"/>
      <c r="F110" s="87"/>
      <c r="G110" s="88"/>
    </row>
    <row r="111" spans="1:7" ht="12" customHeight="1" x14ac:dyDescent="0.25">
      <c r="A111" s="91"/>
      <c r="B111" s="106"/>
      <c r="C111" s="93"/>
      <c r="D111" s="93"/>
      <c r="E111" s="93"/>
      <c r="F111" s="93"/>
      <c r="G111" s="88"/>
    </row>
    <row r="112" spans="1:7" ht="12.75" customHeight="1" x14ac:dyDescent="0.25">
      <c r="A112" s="91"/>
      <c r="B112" s="107"/>
      <c r="C112" s="93"/>
      <c r="D112" s="93"/>
      <c r="E112" s="93"/>
      <c r="F112" s="93"/>
      <c r="G112" s="88"/>
    </row>
    <row r="113" spans="1:7" ht="12" customHeight="1" thickBot="1" x14ac:dyDescent="0.3">
      <c r="A113" s="80"/>
      <c r="B113" s="127"/>
      <c r="C113" s="128" t="s">
        <v>137</v>
      </c>
      <c r="D113" s="129"/>
      <c r="E113" s="130"/>
      <c r="F113" s="86"/>
      <c r="G113" s="88"/>
    </row>
    <row r="114" spans="1:7" ht="12" customHeight="1" thickBot="1" x14ac:dyDescent="0.3">
      <c r="A114" s="91"/>
      <c r="B114" s="131" t="s">
        <v>123</v>
      </c>
      <c r="C114" s="143">
        <f>400*5</f>
        <v>2000</v>
      </c>
      <c r="D114" s="143">
        <f>600*5</f>
        <v>3000</v>
      </c>
      <c r="E114" s="143">
        <f>700*5</f>
        <v>3500</v>
      </c>
      <c r="F114" s="126"/>
      <c r="G114" s="89"/>
    </row>
    <row r="115" spans="1:7" ht="12.75" customHeight="1" thickBot="1" x14ac:dyDescent="0.3">
      <c r="A115" s="91"/>
      <c r="B115" s="112" t="s">
        <v>124</v>
      </c>
      <c r="C115" s="113" t="e">
        <f>+C110/C114</f>
        <v>#REF!</v>
      </c>
      <c r="D115" s="113" t="e">
        <f>+C110/D114</f>
        <v>#REF!</v>
      </c>
      <c r="E115" s="143" t="e">
        <f>+C110/E114</f>
        <v>#REF!</v>
      </c>
      <c r="F115" s="126"/>
      <c r="G115" s="89"/>
    </row>
    <row r="116" spans="1:7" ht="15.6" customHeight="1" x14ac:dyDescent="0.25">
      <c r="A116" s="91"/>
      <c r="B116" s="117" t="s">
        <v>59</v>
      </c>
      <c r="C116" s="90"/>
      <c r="D116" s="90"/>
      <c r="E116" s="90"/>
      <c r="F116" s="90"/>
      <c r="G116" s="90"/>
    </row>
  </sheetData>
  <mergeCells count="8">
    <mergeCell ref="B17:G17"/>
    <mergeCell ref="B102:C102"/>
    <mergeCell ref="E9:F9"/>
    <mergeCell ref="E10:F10"/>
    <mergeCell ref="E11:F11"/>
    <mergeCell ref="E13:F13"/>
    <mergeCell ref="E14:F14"/>
    <mergeCell ref="E15:F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6" ma:contentTypeDescription="Crear nuevo documento." ma:contentTypeScope="" ma:versionID="460fcf2cabfba59f52d96c11e90afadb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e9e81fa5701fb57a9a1e74e746f7827b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8C966C-3B13-44C4-B43B-AD0DE931C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805B3E-A095-4C31-8514-D1C58A6FE89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c5dbce2d-49dc-4afe-a5b0-d7fb7a901161"/>
    <ds:schemaRef ds:uri="http://purl.org/dc/elements/1.1/"/>
    <ds:schemaRef ds:uri="http://schemas.microsoft.com/office/2006/documentManagement/types"/>
    <ds:schemaRef ds:uri="1030f0af-99cb-42f1-88fc-acec73331192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C9D2119-4322-443E-87A1-7AF72E932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LISIANTHUS</vt:lpstr>
      <vt:lpstr>Al 22.06.22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Rioseco Ventura Victor Manuel</cp:lastModifiedBy>
  <dcterms:created xsi:type="dcterms:W3CDTF">2020-11-27T12:49:26Z</dcterms:created>
  <dcterms:modified xsi:type="dcterms:W3CDTF">2023-05-03T14:47:13Z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