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Miel" sheetId="1" r:id="rId1"/>
    <sheet name="Polinizacion" sheetId="2" state="hidden" r:id="rId2"/>
    <sheet name="Miel al 22.06.22" sheetId="3" state="hidden" r:id="rId3"/>
    <sheet name="Pol. al 22.06.22" sheetId="4" state="hidden" r:id="rId4"/>
  </sheets>
  <definedNames>
    <definedName name="_xlnm.Print_Area" localSheetId="0">Miel!$B$10:$G$71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4" l="1"/>
  <c r="G48" i="4" s="1"/>
  <c r="F49" i="4"/>
  <c r="G49" i="4" s="1"/>
  <c r="F50" i="4"/>
  <c r="G50" i="4" s="1"/>
  <c r="F47" i="4"/>
  <c r="G47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35" i="4"/>
  <c r="G35" i="4" s="1"/>
  <c r="F41" i="3"/>
  <c r="G41" i="3" s="1"/>
  <c r="F42" i="3"/>
  <c r="G42" i="3" s="1"/>
  <c r="F43" i="3"/>
  <c r="F44" i="3"/>
  <c r="G44" i="3" s="1"/>
  <c r="F45" i="3"/>
  <c r="G45" i="3" s="1"/>
  <c r="F46" i="3"/>
  <c r="G46" i="3" s="1"/>
  <c r="F50" i="3"/>
  <c r="G50" i="3" s="1"/>
  <c r="F51" i="3"/>
  <c r="G51" i="3" s="1"/>
  <c r="F52" i="3"/>
  <c r="G52" i="3" s="1"/>
  <c r="F53" i="3"/>
  <c r="G53" i="3" s="1"/>
  <c r="F40" i="3"/>
  <c r="G40" i="3" s="1"/>
  <c r="D91" i="4"/>
  <c r="G56" i="4"/>
  <c r="G55" i="4"/>
  <c r="G29" i="4"/>
  <c r="G31" i="4" s="1"/>
  <c r="C80" i="4" s="1"/>
  <c r="G24" i="4"/>
  <c r="G23" i="4"/>
  <c r="G22" i="4"/>
  <c r="G21" i="4"/>
  <c r="G20" i="4"/>
  <c r="G25" i="4" s="1"/>
  <c r="C79" i="4" s="1"/>
  <c r="K11" i="4"/>
  <c r="G11" i="4"/>
  <c r="G63" i="4" s="1"/>
  <c r="K8" i="4"/>
  <c r="G63" i="3"/>
  <c r="G62" i="3"/>
  <c r="G61" i="3"/>
  <c r="G55" i="3"/>
  <c r="G56" i="3" s="1"/>
  <c r="G43" i="3"/>
  <c r="G34" i="3"/>
  <c r="G36" i="3" s="1"/>
  <c r="C86" i="3" s="1"/>
  <c r="G29" i="3"/>
  <c r="G28" i="3"/>
  <c r="G27" i="3"/>
  <c r="G26" i="3"/>
  <c r="G25" i="3"/>
  <c r="G24" i="3"/>
  <c r="G23" i="3"/>
  <c r="G22" i="3"/>
  <c r="G30" i="3" s="1"/>
  <c r="C85" i="3" s="1"/>
  <c r="G13" i="3"/>
  <c r="G70" i="3" s="1"/>
  <c r="G51" i="4" l="1"/>
  <c r="C82" i="4" s="1"/>
  <c r="G43" i="4"/>
  <c r="C81" i="4" s="1"/>
  <c r="G58" i="4"/>
  <c r="G65" i="3"/>
  <c r="C88" i="3" s="1"/>
  <c r="G54" i="3"/>
  <c r="G48" i="3"/>
  <c r="G57" i="3" l="1"/>
  <c r="C87" i="3" s="1"/>
  <c r="G60" i="4"/>
  <c r="G61" i="4" s="1"/>
  <c r="C84" i="4" s="1"/>
  <c r="C83" i="4"/>
  <c r="G40" i="2"/>
  <c r="G39" i="2"/>
  <c r="G38" i="2"/>
  <c r="G37" i="2"/>
  <c r="G36" i="2"/>
  <c r="I8" i="2"/>
  <c r="G67" i="3" l="1"/>
  <c r="G68" i="3" s="1"/>
  <c r="C89" i="3" s="1"/>
  <c r="C85" i="4"/>
  <c r="G62" i="4"/>
  <c r="G11" i="2"/>
  <c r="G63" i="2" s="1"/>
  <c r="D91" i="2"/>
  <c r="G29" i="2"/>
  <c r="G56" i="2"/>
  <c r="I11" i="2"/>
  <c r="G22" i="1"/>
  <c r="G23" i="1"/>
  <c r="G24" i="1"/>
  <c r="G25" i="1"/>
  <c r="G26" i="1"/>
  <c r="D82" i="4" l="1"/>
  <c r="D80" i="4"/>
  <c r="D81" i="4"/>
  <c r="D79" i="4"/>
  <c r="D83" i="4"/>
  <c r="F91" i="4"/>
  <c r="G64" i="4"/>
  <c r="D84" i="4"/>
  <c r="C90" i="3"/>
  <c r="G69" i="3"/>
  <c r="G31" i="2"/>
  <c r="C80" i="2" s="1"/>
  <c r="G55" i="2"/>
  <c r="G50" i="2"/>
  <c r="G49" i="2"/>
  <c r="G48" i="2"/>
  <c r="G51" i="1"/>
  <c r="G24" i="2"/>
  <c r="G23" i="2"/>
  <c r="G47" i="2"/>
  <c r="G62" i="1"/>
  <c r="G61" i="1"/>
  <c r="G41" i="1"/>
  <c r="G42" i="1"/>
  <c r="G43" i="1"/>
  <c r="G44" i="1"/>
  <c r="G45" i="1"/>
  <c r="D85" i="4" l="1"/>
  <c r="D85" i="3"/>
  <c r="D86" i="3"/>
  <c r="D88" i="3"/>
  <c r="D87" i="3"/>
  <c r="D89" i="3"/>
  <c r="E95" i="3"/>
  <c r="D95" i="3"/>
  <c r="C95" i="3"/>
  <c r="G71" i="3"/>
  <c r="G58" i="2"/>
  <c r="C83" i="2" s="1"/>
  <c r="D90" i="3" l="1"/>
  <c r="G55" i="1"/>
  <c r="G56" i="1" s="1"/>
  <c r="G34" i="1"/>
  <c r="G41" i="2"/>
  <c r="G51" i="2"/>
  <c r="G35" i="2"/>
  <c r="G22" i="2"/>
  <c r="G21" i="2"/>
  <c r="G20" i="2"/>
  <c r="G43" i="2" l="1"/>
  <c r="C81" i="2" s="1"/>
  <c r="G25" i="2"/>
  <c r="C82" i="2"/>
  <c r="G63" i="1"/>
  <c r="G29" i="1"/>
  <c r="G46" i="1"/>
  <c r="G28" i="1"/>
  <c r="G53" i="1"/>
  <c r="G52" i="1"/>
  <c r="G50" i="1"/>
  <c r="G40" i="1"/>
  <c r="G36" i="1"/>
  <c r="C86" i="1" s="1"/>
  <c r="G27" i="1"/>
  <c r="G13" i="1"/>
  <c r="G70" i="1" s="1"/>
  <c r="G60" i="2" l="1"/>
  <c r="C79" i="2"/>
  <c r="G65" i="1"/>
  <c r="C88" i="1" s="1"/>
  <c r="G30" i="1"/>
  <c r="C85" i="1" s="1"/>
  <c r="G61" i="2"/>
  <c r="G48" i="1"/>
  <c r="G54" i="1"/>
  <c r="G57" i="1" l="1"/>
  <c r="C87" i="1" s="1"/>
  <c r="G62" i="2"/>
  <c r="F91" i="2" s="1"/>
  <c r="C84" i="2"/>
  <c r="G64" i="2" l="1"/>
  <c r="G67" i="1"/>
  <c r="C85" i="2"/>
  <c r="D82" i="2" s="1"/>
  <c r="G68" i="1" l="1"/>
  <c r="D79" i="2"/>
  <c r="D80" i="2"/>
  <c r="D83" i="2"/>
  <c r="D81" i="2"/>
  <c r="D84" i="2"/>
  <c r="G69" i="1" l="1"/>
  <c r="C89" i="1"/>
  <c r="D85" i="2"/>
  <c r="E95" i="1" l="1"/>
  <c r="C95" i="1"/>
  <c r="D95" i="1"/>
  <c r="G71" i="1"/>
  <c r="C90" i="1"/>
  <c r="D89" i="1" s="1"/>
  <c r="D85" i="1" l="1"/>
  <c r="D86" i="1"/>
  <c r="D87" i="1"/>
  <c r="D88" i="1"/>
  <c r="D90" i="1" l="1"/>
</calcChain>
</file>

<file path=xl/sharedStrings.xml><?xml version="1.0" encoding="utf-8"?>
<sst xmlns="http://schemas.openxmlformats.org/spreadsheetml/2006/main" count="631" uniqueCount="139">
  <si>
    <t>RUBRO O CULTIVO</t>
  </si>
  <si>
    <t>APICULTURA</t>
  </si>
  <si>
    <t>ESPECIE</t>
  </si>
  <si>
    <t>ABEJA</t>
  </si>
  <si>
    <t>FECHA ESTIMADA  PRECIO VENTA</t>
  </si>
  <si>
    <t>TODO EL AÑO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</si>
  <si>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</si>
  <si>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</si>
  <si>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</si>
  <si>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</si>
  <si>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</si>
  <si>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</si>
  <si>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</si>
  <si>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Casablanca</t>
  </si>
  <si>
    <t>DESTINO PRODUCCIÓN</t>
  </si>
  <si>
    <t>MERCADO INTERNO</t>
  </si>
  <si>
    <t>COMUNA/LOCALIDAD</t>
  </si>
  <si>
    <t>FECHA DE COSECHA</t>
  </si>
  <si>
    <t>Dic-Ene</t>
  </si>
  <si>
    <t>FECHA PRECIO INSUMOS</t>
  </si>
  <si>
    <t>CONTINGENCIA</t>
  </si>
  <si>
    <t>Sequía</t>
  </si>
  <si>
    <t>MANEJO DEL APIARIO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</si>
  <si>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</si>
  <si>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</si>
  <si>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</si>
  <si>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</si>
  <si>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</si>
  <si>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</si>
  <si>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Desinfección del material</t>
  </si>
  <si>
    <t>JH</t>
  </si>
  <si>
    <t>Mar-May</t>
  </si>
  <si>
    <t>Formación de núcleos</t>
  </si>
  <si>
    <t>Sept-Dic</t>
  </si>
  <si>
    <t>Ago-Oct</t>
  </si>
  <si>
    <t>Preparación de apiarios</t>
  </si>
  <si>
    <t>todo el año</t>
  </si>
  <si>
    <t>Preparación de invernada</t>
  </si>
  <si>
    <t>Mar-Abr</t>
  </si>
  <si>
    <t>Revisión externa</t>
  </si>
  <si>
    <t>Subtotal  Manejo del Apiario</t>
  </si>
  <si>
    <t>MAQUINARIA</t>
  </si>
  <si>
    <t>Subtotal Costo Maquinaria</t>
  </si>
  <si>
    <t>INSUMOS</t>
  </si>
  <si>
    <t>Insumos</t>
  </si>
  <si>
    <t>Unidad (Kg/l/u)</t>
  </si>
  <si>
    <t>Cantidad (Kg/l/u)</t>
  </si>
  <si>
    <t>Colmena</t>
  </si>
  <si>
    <t>Subtotal</t>
  </si>
  <si>
    <t>Sanidad</t>
  </si>
  <si>
    <t>Jul-Ago a Abr-May</t>
  </si>
  <si>
    <t>Feb-Mar</t>
  </si>
  <si>
    <t>Cosecha</t>
  </si>
  <si>
    <t>J/H</t>
  </si>
  <si>
    <t>Kg</t>
  </si>
  <si>
    <t>Acopio de miel</t>
  </si>
  <si>
    <t>Imprevistos</t>
  </si>
  <si>
    <t>OTROS</t>
  </si>
  <si>
    <t>Item</t>
  </si>
  <si>
    <t>Época (Mes)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</si>
  <si>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</si>
  <si>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</si>
  <si>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</si>
  <si>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</si>
  <si>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</si>
  <si>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</si>
  <si>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COSTOS DIRECTOS DE PRODUCCIÓN POR 123 COLMENAS  ( INCLUYE IVA)</t>
  </si>
  <si>
    <t>Nov -Ene</t>
  </si>
  <si>
    <t>Nov -Ene-Abr</t>
  </si>
  <si>
    <t>MAQUINARIA Y OTROS</t>
  </si>
  <si>
    <t>Combustible transporte operacional</t>
  </si>
  <si>
    <t>año</t>
  </si>
  <si>
    <t>anual</t>
  </si>
  <si>
    <t>Gastos basicos asociados (luz, agua, gas, etc)</t>
  </si>
  <si>
    <t>temporada</t>
  </si>
  <si>
    <t>Desarrollo y mantencion de familias</t>
  </si>
  <si>
    <t>Extracción de miel (envases)</t>
  </si>
  <si>
    <t>Unidades</t>
  </si>
  <si>
    <t>Azúcar</t>
  </si>
  <si>
    <t>Levadura  de cerveza</t>
  </si>
  <si>
    <t>Extracto de propoleo</t>
  </si>
  <si>
    <t xml:space="preserve"> Harina de soya</t>
  </si>
  <si>
    <t>Polen</t>
  </si>
  <si>
    <t>Miel</t>
  </si>
  <si>
    <t>Acido Oxalico</t>
  </si>
  <si>
    <t>RENDIMIENTO (Kg/apiario de 125 colmenas)</t>
  </si>
  <si>
    <t>kg</t>
  </si>
  <si>
    <t>Traslado colmenas trashumancia</t>
  </si>
  <si>
    <t>Ida y vuelta</t>
  </si>
  <si>
    <t>Oct-Mar</t>
  </si>
  <si>
    <t>Visitas apiarios en trashumancias</t>
  </si>
  <si>
    <t>(*) Si existe produccion de miel local, no contabilizar valores "otros" de trashumancia y viceversa</t>
  </si>
  <si>
    <t>DESTINO POLINIZACION</t>
  </si>
  <si>
    <t>Azucar</t>
  </si>
  <si>
    <t>Alimantacion y tratamiento</t>
  </si>
  <si>
    <t>Mantencion material apicola</t>
  </si>
  <si>
    <t>Carga y descarga material apicola</t>
  </si>
  <si>
    <t>Sept-Abr</t>
  </si>
  <si>
    <t>Extraccion de miel</t>
  </si>
  <si>
    <t>Envasado</t>
  </si>
  <si>
    <t>Envases</t>
  </si>
  <si>
    <t>Ene-Mayo</t>
  </si>
  <si>
    <t>Transporte polinizacion</t>
  </si>
  <si>
    <t>sept-marz</t>
  </si>
  <si>
    <t>n°</t>
  </si>
  <si>
    <t>Azucar para jarabe (nosema)</t>
  </si>
  <si>
    <t>Amivar 500  (amitraz)</t>
  </si>
  <si>
    <t>Nota: El cálculo de ingresos establece al menos tres polinizaciones en la temporada</t>
  </si>
  <si>
    <t>PRECIO ESPERADO PROMEDIO DE TRES POLINIZACIONES POR TEMPORADA</t>
  </si>
  <si>
    <t>RENDIMIENTO MIEL (Kg/apiario de 125 colmenas) = 1,4</t>
  </si>
  <si>
    <t>Dic-Ene-Abr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</si>
  <si>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</si>
  <si>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</si>
  <si>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</si>
  <si>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</si>
  <si>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</si>
  <si>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</si>
  <si>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</si>
  <si>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</si>
  <si>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</si>
  <si>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</si>
  <si>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</si>
  <si>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</si>
  <si>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</si>
  <si>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COSTO TOTAL/hà.</t>
  </si>
  <si>
    <t>(*): Este valor representa el valor mìnimo de venta del producto</t>
  </si>
  <si>
    <t>Abr</t>
  </si>
  <si>
    <t>Todo el año</t>
  </si>
  <si>
    <t>Mantencion Vehiculos</t>
  </si>
  <si>
    <t>ESCENARIOS COSTO UNITARIO  ($/colmena)</t>
  </si>
  <si>
    <t>Arriendo ($/Colmena)</t>
  </si>
  <si>
    <t>Rendimiento (Kg miel/Colmena)</t>
  </si>
  <si>
    <t>Costo unitario ($/Colmena) (*)</t>
  </si>
  <si>
    <t>6. El  costo de la mano de obra incluye impuestos e  imposiciones 
7,- Si existe produccion de miel local, no contabilizar valores "otros" de trashumancia y viceversa</t>
  </si>
  <si>
    <t>Imprevistos por eventos trashumancia</t>
  </si>
  <si>
    <t>Subtotal Insumos</t>
  </si>
  <si>
    <t>Apiherb (500 g) (nosema)</t>
  </si>
  <si>
    <t>RENDIMIENTO (apiario 125 colmenas)</t>
  </si>
  <si>
    <t>COSTOS DIRECTOS DE PRODUCCIÓN POR 125 COLMENAS  ( 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</si>
</sst>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mmmm/yy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  <font>
      <b/>
      <i/>
      <sz val="7"/>
      <color theme="1"/>
      <name val="Calibri"/>
      <family val="2"/>
    </font>
    <font>
      <sz val="7"/>
      <color theme="0"/>
      <name val="Calibri"/>
      <family val="2"/>
    </font>
    <font>
      <b/>
      <sz val="7"/>
      <color theme="1"/>
      <name val="Calibri"/>
      <family val="2"/>
    </font>
    <font>
      <sz val="7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rgb="FF7F7F7F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6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3" fontId="6" fillId="3" borderId="1" xfId="1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4" fillId="2" borderId="1" xfId="3" applyFont="1" applyFill="1" applyBorder="1" applyAlignment="1">
      <alignment horizontal="center" vertical="center" wrapText="1"/>
    </xf>
    <xf numFmtId="165" fontId="4" fillId="2" borderId="1" xfId="3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2" applyFont="1" applyBorder="1"/>
    <xf numFmtId="0" fontId="0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168" fontId="10" fillId="5" borderId="0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12" fillId="5" borderId="4" xfId="0" applyNumberFormat="1" applyFont="1" applyFill="1" applyBorder="1" applyAlignment="1">
      <alignment vertical="center"/>
    </xf>
    <xf numFmtId="0" fontId="8" fillId="5" borderId="5" xfId="0" applyFont="1" applyFill="1" applyBorder="1" applyAlignment="1"/>
    <xf numFmtId="0" fontId="8" fillId="5" borderId="6" xfId="0" applyFont="1" applyFill="1" applyBorder="1" applyAlignment="1"/>
    <xf numFmtId="49" fontId="8" fillId="5" borderId="7" xfId="0" applyNumberFormat="1" applyFont="1" applyFill="1" applyBorder="1" applyAlignment="1">
      <alignment vertical="center"/>
    </xf>
    <xf numFmtId="0" fontId="8" fillId="5" borderId="0" xfId="0" applyFont="1" applyFill="1" applyBorder="1" applyAlignment="1"/>
    <xf numFmtId="0" fontId="8" fillId="5" borderId="8" xfId="0" applyFont="1" applyFill="1" applyBorder="1" applyAlignment="1"/>
    <xf numFmtId="49" fontId="8" fillId="5" borderId="9" xfId="0" applyNumberFormat="1" applyFont="1" applyFill="1" applyBorder="1" applyAlignment="1">
      <alignment vertical="center"/>
    </xf>
    <xf numFmtId="0" fontId="8" fillId="5" borderId="10" xfId="0" applyFont="1" applyFill="1" applyBorder="1" applyAlignment="1"/>
    <xf numFmtId="0" fontId="8" fillId="5" borderId="11" xfId="0" applyFont="1" applyFill="1" applyBorder="1" applyAlignment="1"/>
    <xf numFmtId="0" fontId="8" fillId="5" borderId="0" xfId="0" applyFont="1" applyFill="1" applyBorder="1" applyAlignment="1">
      <alignment vertical="center"/>
    </xf>
    <xf numFmtId="49" fontId="12" fillId="5" borderId="12" xfId="0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vertical="center"/>
    </xf>
    <xf numFmtId="9" fontId="8" fillId="5" borderId="13" xfId="0" applyNumberFormat="1" applyFont="1" applyFill="1" applyBorder="1" applyAlignment="1"/>
    <xf numFmtId="169" fontId="12" fillId="5" borderId="3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168" fontId="15" fillId="5" borderId="0" xfId="0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165" fontId="4" fillId="2" borderId="1" xfId="3" applyFont="1" applyFill="1" applyBorder="1" applyAlignment="1">
      <alignment horizontal="right" vertical="center" wrapText="1"/>
    </xf>
    <xf numFmtId="165" fontId="4" fillId="2" borderId="1" xfId="3" applyFont="1" applyFill="1" applyBorder="1" applyAlignment="1">
      <alignment horizontal="right" vertical="center"/>
    </xf>
    <xf numFmtId="0" fontId="0" fillId="2" borderId="0" xfId="0" applyFill="1"/>
    <xf numFmtId="0" fontId="7" fillId="4" borderId="1" xfId="0" applyFont="1" applyFill="1" applyBorder="1" applyAlignment="1">
      <alignment vertical="center"/>
    </xf>
    <xf numFmtId="0" fontId="8" fillId="4" borderId="23" xfId="0" applyFont="1" applyFill="1" applyBorder="1" applyAlignment="1"/>
    <xf numFmtId="49" fontId="2" fillId="4" borderId="22" xfId="0" applyNumberFormat="1" applyFont="1" applyFill="1" applyBorder="1" applyAlignment="1">
      <alignment horizontal="left" vertical="center"/>
    </xf>
    <xf numFmtId="0" fontId="9" fillId="4" borderId="0" xfId="0" applyFont="1" applyFill="1"/>
    <xf numFmtId="0" fontId="2" fillId="4" borderId="2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49" fontId="8" fillId="5" borderId="9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16" fillId="6" borderId="29" xfId="0" applyNumberFormat="1" applyFont="1" applyFill="1" applyBorder="1" applyAlignment="1">
      <alignment vertical="center" wrapText="1"/>
    </xf>
    <xf numFmtId="49" fontId="12" fillId="8" borderId="18" xfId="0" applyNumberFormat="1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49" fontId="8" fillId="8" borderId="20" xfId="0" applyNumberFormat="1" applyFont="1" applyFill="1" applyBorder="1" applyAlignment="1"/>
    <xf numFmtId="49" fontId="12" fillId="8" borderId="14" xfId="0" applyNumberFormat="1" applyFont="1" applyFill="1" applyBorder="1" applyAlignment="1">
      <alignment vertical="center"/>
    </xf>
    <xf numFmtId="169" fontId="12" fillId="8" borderId="15" xfId="0" applyNumberFormat="1" applyFont="1" applyFill="1" applyBorder="1" applyAlignment="1">
      <alignment vertical="center"/>
    </xf>
    <xf numFmtId="9" fontId="12" fillId="8" borderId="16" xfId="0" applyNumberFormat="1" applyFont="1" applyFill="1" applyBorder="1" applyAlignment="1">
      <alignment vertical="center"/>
    </xf>
    <xf numFmtId="0" fontId="12" fillId="8" borderId="19" xfId="0" applyNumberFormat="1" applyFont="1" applyFill="1" applyBorder="1" applyAlignment="1">
      <alignment vertical="center"/>
    </xf>
    <xf numFmtId="0" fontId="12" fillId="8" borderId="20" xfId="0" applyNumberFormat="1" applyFont="1" applyFill="1" applyBorder="1" applyAlignment="1">
      <alignment vertical="center"/>
    </xf>
    <xf numFmtId="0" fontId="12" fillId="8" borderId="24" xfId="0" applyNumberFormat="1" applyFont="1" applyFill="1" applyBorder="1" applyAlignment="1">
      <alignment vertical="center"/>
    </xf>
    <xf numFmtId="0" fontId="12" fillId="8" borderId="25" xfId="0" applyNumberFormat="1" applyFont="1" applyFill="1" applyBorder="1" applyAlignment="1">
      <alignment vertical="center"/>
    </xf>
    <xf numFmtId="169" fontId="12" fillId="8" borderId="16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3" fontId="19" fillId="3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vertical="center"/>
    </xf>
    <xf numFmtId="49" fontId="12" fillId="8" borderId="26" xfId="0" applyNumberFormat="1" applyFont="1" applyFill="1" applyBorder="1" applyAlignment="1">
      <alignment vertical="center"/>
    </xf>
    <xf numFmtId="0" fontId="12" fillId="8" borderId="17" xfId="0" applyNumberFormat="1" applyFont="1" applyFill="1" applyBorder="1" applyAlignment="1">
      <alignment vertical="center"/>
    </xf>
    <xf numFmtId="0" fontId="12" fillId="8" borderId="27" xfId="0" applyNumberFormat="1" applyFont="1" applyFill="1" applyBorder="1" applyAlignment="1">
      <alignment vertical="center"/>
    </xf>
    <xf numFmtId="169" fontId="12" fillId="8" borderId="28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70" fontId="4" fillId="0" borderId="1" xfId="0" applyNumberFormat="1" applyFont="1" applyBorder="1" applyAlignment="1">
      <alignment vertical="center"/>
    </xf>
    <xf numFmtId="165" fontId="19" fillId="4" borderId="0" xfId="3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49" fontId="16" fillId="6" borderId="31" xfId="0" applyNumberFormat="1" applyFont="1" applyFill="1" applyBorder="1" applyAlignment="1">
      <alignment horizontal="center" vertical="center" wrapText="1"/>
    </xf>
    <xf numFmtId="49" fontId="16" fillId="6" borderId="3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7" fillId="6" borderId="30" xfId="0" applyNumberFormat="1" applyFont="1" applyFill="1" applyBorder="1" applyAlignment="1">
      <alignment wrapText="1"/>
    </xf>
    <xf numFmtId="0" fontId="17" fillId="7" borderId="30" xfId="0" applyFont="1" applyFill="1" applyBorder="1" applyAlignment="1">
      <alignment wrapText="1"/>
    </xf>
  </cellXfs>
  <cellStyles count="4">
    <cellStyle name="Millares" xfId="1" builtinId="3"/>
    <cellStyle name="Millares [0]" xfId="3" builtinId="6"/>
    <cellStyle name="Moneda [0]" xfId="2" builtinId="7"/>
    <cellStyle name="Normal" xfId="0" builtinId="0"/>
  </cellStyles>
  <dxfs count="0"/>
  <tableStyles count="0" defaultTableStyle="TableStyleMedium9" defaultPivotStyle="PivotStyleLight16"/>
  <colors>
    <mruColors>
      <color rgb="FF009999"/>
      <color rgb="FFFF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256759</xdr:colOff>
      <xdr:row>2</xdr:row>
      <xdr:rowOff>41412</xdr:rowOff>
    </xdr:from>
    <xdr:to>
      <xdr:col>6</xdr:col>
      <xdr:colOff>761999</xdr:colOff>
      <xdr:row>8</xdr:row>
      <xdr:rowOff>132629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9" y="422412"/>
          <a:ext cx="5847523" cy="123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763906</xdr:colOff>
      <xdr:row>0</xdr:row>
      <xdr:rowOff>154306</xdr:rowOff>
    </xdr:from>
    <xdr:to>
      <xdr:col>6</xdr:col>
      <xdr:colOff>400051</xdr:colOff>
      <xdr:row>6</xdr:row>
      <xdr:rowOff>181364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6" y="154306"/>
          <a:ext cx="5694045" cy="1124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256759</xdr:colOff>
      <xdr:row>2</xdr:row>
      <xdr:rowOff>41412</xdr:rowOff>
    </xdr:from>
    <xdr:to>
      <xdr:col>6</xdr:col>
      <xdr:colOff>761999</xdr:colOff>
      <xdr:row>8</xdr:row>
      <xdr:rowOff>132629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9" y="407172"/>
          <a:ext cx="6022120" cy="11884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763906</xdr:colOff>
      <xdr:row>0</xdr:row>
      <xdr:rowOff>154306</xdr:rowOff>
    </xdr:from>
    <xdr:to>
      <xdr:col>6</xdr:col>
      <xdr:colOff>400051</xdr:colOff>
      <xdr:row>7</xdr:row>
      <xdr:rowOff>1255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6" y="154306"/>
          <a:ext cx="5694045" cy="1124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6"/>
  <sheetViews>
    <sheetView showGridLines="0" tabSelected="1" zoomScale="120" zoomScaleNormal="120" zoomScalePageLayoutView="110" workbookViewId="0">
      <selection activeCell="I52" sqref="I52"/>
    </sheetView>
  </sheetViews>
  <sheetFormatPr baseColWidth="10" defaultRowHeight="15" x14ac:dyDescent="0.25"/>
  <cols>
    <col min="1" max="1" width="4" customWidth="1"/>
    <col min="2" max="2" width="29.140625" customWidth="1"/>
    <col min="3" max="3" width="12.7109375" customWidth="1"/>
    <col min="8" max="8" width="17.5703125" bestFit="1" customWidth="1"/>
  </cols>
  <sheetData>
    <row r="9" spans="1:7" x14ac:dyDescent="0.25">
      <c r="A9" s="12"/>
      <c r="B9" s="12"/>
      <c r="C9" s="12"/>
      <c r="D9" s="12"/>
      <c r="E9" s="12"/>
      <c r="F9" s="12"/>
      <c r="G9" s="12"/>
    </row>
    <row r="10" spans="1:7" ht="19.5" customHeight="1" x14ac:dyDescent="0.25">
      <c r="A10" s="12"/>
      <c r="B10" s="96" t="s">
        <v>0</v>
      </c>
      <c r="C10" s="13" t="s">
        <v>1</v>
      </c>
      <c r="D10" s="1"/>
      <c r="E10" s="125" t="s">
        <v>85</v>
      </c>
      <c r="F10" s="126"/>
      <c r="G10" s="18">
        <v>1250</v>
      </c>
    </row>
    <row r="11" spans="1:7" ht="21.75" customHeight="1" x14ac:dyDescent="0.25">
      <c r="A11" s="12"/>
      <c r="B11" s="14" t="s">
        <v>2</v>
      </c>
      <c r="C11" s="15" t="s">
        <v>3</v>
      </c>
      <c r="D11" s="1"/>
      <c r="E11" s="127" t="s">
        <v>4</v>
      </c>
      <c r="F11" s="127"/>
      <c r="G11" s="16" t="s">
        <v>5</v>
      </c>
    </row>
    <row r="12" spans="1:7" x14ac:dyDescent="0.25">
      <c r="A12" s="12"/>
      <c r="B12" s="14" t="s">
        <v>6</v>
      </c>
      <c r="C12" s="13" t="s">
        <v>7</v>
      </c>
      <c r="D12" s="1"/>
      <c r="E12" s="127" t="s">
        <v>8</v>
      </c>
      <c r="F12" s="127"/>
      <c r="G12" s="19">
        <v>4500</v>
      </c>
    </row>
    <row r="13" spans="1:7" x14ac:dyDescent="0.25">
      <c r="A13" s="12"/>
      <c r="B13" s="14" t="s">
        <v>9</v>
      </c>
      <c r="C13" s="13" t="s">
        <v>10</v>
      </c>
      <c r="D13" s="2"/>
      <c r="E13" s="127" t="s">
        <v>11</v>
      </c>
      <c r="F13" s="127"/>
      <c r="G13" s="19">
        <f>+G12*G10</f>
        <v>5625000</v>
      </c>
    </row>
    <row r="14" spans="1:7" ht="18" x14ac:dyDescent="0.25">
      <c r="A14" s="12"/>
      <c r="B14" s="14" t="s">
        <v>12</v>
      </c>
      <c r="C14" s="13" t="s">
        <v>13</v>
      </c>
      <c r="D14" s="2"/>
      <c r="E14" s="127" t="s">
        <v>14</v>
      </c>
      <c r="F14" s="127"/>
      <c r="G14" s="20" t="s">
        <v>15</v>
      </c>
    </row>
    <row r="15" spans="1:7" x14ac:dyDescent="0.25">
      <c r="A15" s="12"/>
      <c r="B15" s="14" t="s">
        <v>16</v>
      </c>
      <c r="C15" s="16" t="s">
        <v>13</v>
      </c>
      <c r="D15" s="2"/>
      <c r="E15" s="127" t="s">
        <v>17</v>
      </c>
      <c r="F15" s="127"/>
      <c r="G15" s="15" t="s">
        <v>68</v>
      </c>
    </row>
    <row r="16" spans="1:7" x14ac:dyDescent="0.25">
      <c r="A16" s="12"/>
      <c r="B16" s="14" t="s">
        <v>19</v>
      </c>
      <c r="C16" s="17">
        <v>44593</v>
      </c>
      <c r="D16" s="2"/>
      <c r="E16" s="123" t="s">
        <v>20</v>
      </c>
      <c r="F16" s="123"/>
      <c r="G16" s="15" t="s">
        <v>21</v>
      </c>
    </row>
    <row r="17" spans="1:7" x14ac:dyDescent="0.25">
      <c r="A17" s="12"/>
      <c r="B17" s="3"/>
      <c r="C17" s="4"/>
      <c r="D17" s="1"/>
      <c r="E17" s="2"/>
      <c r="F17" s="2"/>
      <c r="G17" s="5"/>
    </row>
    <row r="18" spans="1:7" x14ac:dyDescent="0.25">
      <c r="A18" s="12"/>
      <c r="B18" s="124" t="s">
        <v>138</v>
      </c>
      <c r="C18" s="124"/>
      <c r="D18" s="124"/>
      <c r="E18" s="124"/>
      <c r="F18" s="124"/>
      <c r="G18" s="124"/>
    </row>
    <row r="19" spans="1:7" x14ac:dyDescent="0.25">
      <c r="A19" s="12"/>
      <c r="B19" s="1"/>
      <c r="C19" s="6"/>
      <c r="D19" s="6"/>
      <c r="E19" s="7"/>
      <c r="F19" s="8"/>
      <c r="G19" s="1"/>
    </row>
    <row r="20" spans="1:7" x14ac:dyDescent="0.25">
      <c r="A20" s="12"/>
      <c r="B20" s="48" t="s">
        <v>22</v>
      </c>
      <c r="C20" s="2"/>
      <c r="D20" s="2"/>
      <c r="E20" s="2"/>
      <c r="F20" s="2"/>
      <c r="G20" s="2"/>
    </row>
    <row r="21" spans="1:7" ht="18" x14ac:dyDescent="0.25">
      <c r="A21" s="12"/>
      <c r="B21" s="39" t="s">
        <v>23</v>
      </c>
      <c r="C21" s="40" t="s">
        <v>24</v>
      </c>
      <c r="D21" s="40" t="s">
        <v>25</v>
      </c>
      <c r="E21" s="40" t="s">
        <v>26</v>
      </c>
      <c r="F21" s="40" t="s">
        <v>27</v>
      </c>
      <c r="G21" s="40" t="s">
        <v>28</v>
      </c>
    </row>
    <row r="22" spans="1:7" x14ac:dyDescent="0.25">
      <c r="A22" s="12"/>
      <c r="B22" s="21" t="s">
        <v>29</v>
      </c>
      <c r="C22" s="22" t="s">
        <v>30</v>
      </c>
      <c r="D22" s="22">
        <v>5</v>
      </c>
      <c r="E22" s="23" t="s">
        <v>31</v>
      </c>
      <c r="F22" s="24">
        <v>33600</v>
      </c>
      <c r="G22" s="24">
        <f>F22*D22</f>
        <v>168000</v>
      </c>
    </row>
    <row r="23" spans="1:7" x14ac:dyDescent="0.25">
      <c r="A23" s="12"/>
      <c r="B23" s="21" t="s">
        <v>32</v>
      </c>
      <c r="C23" s="22" t="s">
        <v>30</v>
      </c>
      <c r="D23" s="22">
        <v>6</v>
      </c>
      <c r="E23" s="23" t="s">
        <v>33</v>
      </c>
      <c r="F23" s="24">
        <v>33600</v>
      </c>
      <c r="G23" s="24">
        <f>F23*D23</f>
        <v>201600</v>
      </c>
    </row>
    <row r="24" spans="1:7" x14ac:dyDescent="0.25">
      <c r="A24" s="12"/>
      <c r="B24" s="21" t="s">
        <v>75</v>
      </c>
      <c r="C24" s="22" t="s">
        <v>30</v>
      </c>
      <c r="D24" s="22">
        <v>40</v>
      </c>
      <c r="E24" s="23" t="s">
        <v>34</v>
      </c>
      <c r="F24" s="24">
        <v>33600</v>
      </c>
      <c r="G24" s="24">
        <f t="shared" ref="G24:G27" si="0">F24*D24</f>
        <v>1344000</v>
      </c>
    </row>
    <row r="25" spans="1:7" x14ac:dyDescent="0.25">
      <c r="A25" s="12"/>
      <c r="B25" s="21" t="s">
        <v>35</v>
      </c>
      <c r="C25" s="22" t="s">
        <v>30</v>
      </c>
      <c r="D25" s="22">
        <v>4</v>
      </c>
      <c r="E25" s="23" t="s">
        <v>36</v>
      </c>
      <c r="F25" s="24">
        <v>33600</v>
      </c>
      <c r="G25" s="24">
        <f t="shared" si="0"/>
        <v>134400</v>
      </c>
    </row>
    <row r="26" spans="1:7" x14ac:dyDescent="0.25">
      <c r="A26" s="12"/>
      <c r="B26" s="21" t="s">
        <v>37</v>
      </c>
      <c r="C26" s="22" t="s">
        <v>30</v>
      </c>
      <c r="D26" s="22">
        <v>4</v>
      </c>
      <c r="E26" s="23" t="s">
        <v>38</v>
      </c>
      <c r="F26" s="24">
        <v>33600</v>
      </c>
      <c r="G26" s="24">
        <f t="shared" si="0"/>
        <v>134400</v>
      </c>
    </row>
    <row r="27" spans="1:7" x14ac:dyDescent="0.25">
      <c r="A27" s="12"/>
      <c r="B27" s="21" t="s">
        <v>39</v>
      </c>
      <c r="C27" s="22" t="s">
        <v>30</v>
      </c>
      <c r="D27" s="22">
        <v>3</v>
      </c>
      <c r="E27" s="23" t="s">
        <v>36</v>
      </c>
      <c r="F27" s="24">
        <v>33600</v>
      </c>
      <c r="G27" s="24">
        <f t="shared" si="0"/>
        <v>100800</v>
      </c>
    </row>
    <row r="28" spans="1:7" x14ac:dyDescent="0.25">
      <c r="A28" s="12"/>
      <c r="B28" s="30" t="s">
        <v>52</v>
      </c>
      <c r="C28" s="23" t="s">
        <v>53</v>
      </c>
      <c r="D28" s="28">
        <v>6</v>
      </c>
      <c r="E28" s="23" t="s">
        <v>18</v>
      </c>
      <c r="F28" s="24">
        <v>33600</v>
      </c>
      <c r="G28" s="29">
        <f>+D28*F28</f>
        <v>201600</v>
      </c>
    </row>
    <row r="29" spans="1:7" x14ac:dyDescent="0.25">
      <c r="A29" s="12"/>
      <c r="B29" s="30" t="s">
        <v>55</v>
      </c>
      <c r="C29" s="23" t="s">
        <v>53</v>
      </c>
      <c r="D29" s="28">
        <v>5</v>
      </c>
      <c r="E29" s="23" t="s">
        <v>18</v>
      </c>
      <c r="F29" s="24">
        <v>33600</v>
      </c>
      <c r="G29" s="29">
        <f>+D29*F29</f>
        <v>168000</v>
      </c>
    </row>
    <row r="30" spans="1:7" x14ac:dyDescent="0.25">
      <c r="A30" s="12"/>
      <c r="B30" s="41" t="s">
        <v>40</v>
      </c>
      <c r="C30" s="42"/>
      <c r="D30" s="43"/>
      <c r="E30" s="42"/>
      <c r="F30" s="44"/>
      <c r="G30" s="44">
        <f>SUM(G22:G29)</f>
        <v>2452800</v>
      </c>
    </row>
    <row r="31" spans="1:7" x14ac:dyDescent="0.25">
      <c r="A31" s="12"/>
      <c r="B31" s="2"/>
      <c r="C31" s="9"/>
      <c r="D31" s="9"/>
      <c r="E31" s="9"/>
      <c r="F31" s="2"/>
      <c r="G31" s="2"/>
    </row>
    <row r="32" spans="1:7" x14ac:dyDescent="0.25">
      <c r="A32" s="12"/>
      <c r="B32" s="48" t="s">
        <v>69</v>
      </c>
      <c r="C32" s="9"/>
      <c r="D32" s="9"/>
      <c r="E32" s="9"/>
      <c r="F32" s="2"/>
      <c r="G32" s="2"/>
    </row>
    <row r="33" spans="1:7" ht="18" x14ac:dyDescent="0.25">
      <c r="A33" s="12"/>
      <c r="B33" s="43" t="s">
        <v>23</v>
      </c>
      <c r="C33" s="43" t="s">
        <v>24</v>
      </c>
      <c r="D33" s="43" t="s">
        <v>25</v>
      </c>
      <c r="E33" s="43" t="s">
        <v>26</v>
      </c>
      <c r="F33" s="40" t="s">
        <v>27</v>
      </c>
      <c r="G33" s="43" t="s">
        <v>28</v>
      </c>
    </row>
    <row r="34" spans="1:7" x14ac:dyDescent="0.25">
      <c r="A34" s="12"/>
      <c r="B34" s="21" t="s">
        <v>70</v>
      </c>
      <c r="C34" s="22" t="s">
        <v>71</v>
      </c>
      <c r="D34" s="22">
        <v>1</v>
      </c>
      <c r="E34" s="23" t="s">
        <v>72</v>
      </c>
      <c r="F34" s="24">
        <v>420000</v>
      </c>
      <c r="G34" s="24">
        <f>+F34*D34</f>
        <v>420000</v>
      </c>
    </row>
    <row r="35" spans="1:7" x14ac:dyDescent="0.25">
      <c r="A35" s="12"/>
      <c r="B35" s="21"/>
      <c r="C35" s="22"/>
      <c r="D35" s="22"/>
      <c r="E35" s="23"/>
      <c r="F35" s="24"/>
      <c r="G35" s="24"/>
    </row>
    <row r="36" spans="1:7" x14ac:dyDescent="0.25">
      <c r="A36" s="12"/>
      <c r="B36" s="41" t="s">
        <v>42</v>
      </c>
      <c r="C36" s="42"/>
      <c r="D36" s="43"/>
      <c r="E36" s="42"/>
      <c r="F36" s="44"/>
      <c r="G36" s="44">
        <f>SUM(G34:G35)</f>
        <v>420000</v>
      </c>
    </row>
    <row r="37" spans="1:7" x14ac:dyDescent="0.25">
      <c r="A37" s="12"/>
      <c r="B37" s="2"/>
      <c r="C37" s="9"/>
      <c r="D37" s="9"/>
      <c r="E37" s="9"/>
      <c r="F37" s="2"/>
      <c r="G37" s="2"/>
    </row>
    <row r="38" spans="1:7" x14ac:dyDescent="0.25">
      <c r="A38" s="12"/>
      <c r="B38" s="48" t="s">
        <v>43</v>
      </c>
      <c r="C38" s="9"/>
      <c r="D38" s="9"/>
      <c r="E38" s="9"/>
      <c r="F38" s="2"/>
      <c r="G38" s="2"/>
    </row>
    <row r="39" spans="1:7" ht="18" x14ac:dyDescent="0.25">
      <c r="A39" s="12"/>
      <c r="B39" s="40" t="s">
        <v>44</v>
      </c>
      <c r="C39" s="40" t="s">
        <v>45</v>
      </c>
      <c r="D39" s="40" t="s">
        <v>46</v>
      </c>
      <c r="E39" s="40" t="s">
        <v>26</v>
      </c>
      <c r="F39" s="40" t="s">
        <v>27</v>
      </c>
      <c r="G39" s="40" t="s">
        <v>28</v>
      </c>
    </row>
    <row r="40" spans="1:7" x14ac:dyDescent="0.25">
      <c r="A40" s="12"/>
      <c r="B40" s="21" t="s">
        <v>78</v>
      </c>
      <c r="C40" s="22" t="s">
        <v>54</v>
      </c>
      <c r="D40" s="25">
        <v>400</v>
      </c>
      <c r="E40" s="23" t="s">
        <v>72</v>
      </c>
      <c r="F40" s="26">
        <v>625</v>
      </c>
      <c r="G40" s="24">
        <f>+F40*D40</f>
        <v>250000</v>
      </c>
    </row>
    <row r="41" spans="1:7" x14ac:dyDescent="0.25">
      <c r="A41" s="12"/>
      <c r="B41" s="21" t="s">
        <v>79</v>
      </c>
      <c r="C41" s="22" t="s">
        <v>54</v>
      </c>
      <c r="D41" s="25">
        <v>40</v>
      </c>
      <c r="E41" s="23" t="s">
        <v>72</v>
      </c>
      <c r="F41" s="26">
        <v>4588</v>
      </c>
      <c r="G41" s="24">
        <f t="shared" ref="G41:G45" si="1">+F41*D41</f>
        <v>183520</v>
      </c>
    </row>
    <row r="42" spans="1:7" x14ac:dyDescent="0.25">
      <c r="A42" s="12"/>
      <c r="B42" s="21" t="s">
        <v>80</v>
      </c>
      <c r="C42" s="22" t="s">
        <v>54</v>
      </c>
      <c r="D42" s="25">
        <v>1</v>
      </c>
      <c r="E42" s="23" t="s">
        <v>72</v>
      </c>
      <c r="F42" s="26">
        <v>18750</v>
      </c>
      <c r="G42" s="24">
        <f t="shared" si="1"/>
        <v>18750</v>
      </c>
    </row>
    <row r="43" spans="1:7" x14ac:dyDescent="0.25">
      <c r="A43" s="12"/>
      <c r="B43" s="21" t="s">
        <v>81</v>
      </c>
      <c r="C43" s="22" t="s">
        <v>54</v>
      </c>
      <c r="D43" s="25">
        <v>40</v>
      </c>
      <c r="E43" s="23" t="s">
        <v>72</v>
      </c>
      <c r="F43" s="26">
        <v>1875</v>
      </c>
      <c r="G43" s="24">
        <f t="shared" si="1"/>
        <v>75000</v>
      </c>
    </row>
    <row r="44" spans="1:7" x14ac:dyDescent="0.25">
      <c r="A44" s="12"/>
      <c r="B44" s="21" t="s">
        <v>82</v>
      </c>
      <c r="C44" s="22" t="s">
        <v>54</v>
      </c>
      <c r="D44" s="25">
        <v>10</v>
      </c>
      <c r="E44" s="23" t="s">
        <v>72</v>
      </c>
      <c r="F44" s="26">
        <v>18750</v>
      </c>
      <c r="G44" s="24">
        <f t="shared" si="1"/>
        <v>187500</v>
      </c>
    </row>
    <row r="45" spans="1:7" x14ac:dyDescent="0.25">
      <c r="A45" s="12"/>
      <c r="B45" s="21" t="s">
        <v>83</v>
      </c>
      <c r="C45" s="22" t="s">
        <v>54</v>
      </c>
      <c r="D45" s="25">
        <v>10</v>
      </c>
      <c r="E45" s="23" t="s">
        <v>72</v>
      </c>
      <c r="F45" s="26">
        <v>3125</v>
      </c>
      <c r="G45" s="24">
        <f t="shared" si="1"/>
        <v>31250</v>
      </c>
    </row>
    <row r="46" spans="1:7" x14ac:dyDescent="0.25">
      <c r="A46" s="12"/>
      <c r="B46" s="30" t="s">
        <v>76</v>
      </c>
      <c r="C46" s="23" t="s">
        <v>77</v>
      </c>
      <c r="D46" s="28">
        <v>1250</v>
      </c>
      <c r="E46" s="23" t="s">
        <v>18</v>
      </c>
      <c r="F46" s="29">
        <v>313</v>
      </c>
      <c r="G46" s="29">
        <f>+D46*F46</f>
        <v>391250</v>
      </c>
    </row>
    <row r="47" spans="1:7" x14ac:dyDescent="0.25">
      <c r="A47" s="12"/>
      <c r="B47" s="21"/>
      <c r="C47" s="22"/>
      <c r="D47" s="25"/>
      <c r="E47" s="23"/>
      <c r="F47" s="26"/>
      <c r="G47" s="24"/>
    </row>
    <row r="48" spans="1:7" x14ac:dyDescent="0.25">
      <c r="A48" s="12"/>
      <c r="B48" s="40" t="s">
        <v>48</v>
      </c>
      <c r="C48" s="40"/>
      <c r="D48" s="40"/>
      <c r="E48" s="40"/>
      <c r="F48" s="40"/>
      <c r="G48" s="45">
        <f>SUM(G40:G47)</f>
        <v>1137270</v>
      </c>
    </row>
    <row r="49" spans="1:7" x14ac:dyDescent="0.25">
      <c r="A49" s="12"/>
      <c r="B49" s="27" t="s">
        <v>49</v>
      </c>
      <c r="C49" s="23"/>
      <c r="D49" s="28"/>
      <c r="E49" s="23"/>
      <c r="F49" s="29"/>
      <c r="G49" s="29"/>
    </row>
    <row r="50" spans="1:7" x14ac:dyDescent="0.25">
      <c r="A50" s="12"/>
      <c r="B50" s="30" t="s">
        <v>84</v>
      </c>
      <c r="C50" s="23" t="s">
        <v>86</v>
      </c>
      <c r="D50" s="31">
        <v>3.5</v>
      </c>
      <c r="E50" s="23" t="s">
        <v>38</v>
      </c>
      <c r="F50" s="29">
        <v>10563</v>
      </c>
      <c r="G50" s="29">
        <f t="shared" ref="G50:G53" si="2">+F50*D50</f>
        <v>36970.5</v>
      </c>
    </row>
    <row r="51" spans="1:7" x14ac:dyDescent="0.25">
      <c r="A51" s="12"/>
      <c r="B51" s="30" t="s">
        <v>136</v>
      </c>
      <c r="C51" s="23" t="s">
        <v>86</v>
      </c>
      <c r="D51" s="28">
        <v>0.5</v>
      </c>
      <c r="E51" s="23"/>
      <c r="F51" s="29">
        <v>137500</v>
      </c>
      <c r="G51" s="29">
        <f t="shared" si="2"/>
        <v>68750</v>
      </c>
    </row>
    <row r="52" spans="1:7" x14ac:dyDescent="0.25">
      <c r="A52" s="12"/>
      <c r="B52" s="30" t="s">
        <v>105</v>
      </c>
      <c r="C52" s="23" t="s">
        <v>86</v>
      </c>
      <c r="D52" s="31">
        <v>26</v>
      </c>
      <c r="E52" s="23" t="s">
        <v>50</v>
      </c>
      <c r="F52" s="29">
        <v>625</v>
      </c>
      <c r="G52" s="29">
        <f t="shared" si="2"/>
        <v>16250</v>
      </c>
    </row>
    <row r="53" spans="1:7" x14ac:dyDescent="0.25">
      <c r="A53" s="12"/>
      <c r="B53" s="30" t="s">
        <v>106</v>
      </c>
      <c r="C53" s="23" t="s">
        <v>47</v>
      </c>
      <c r="D53" s="31">
        <v>125</v>
      </c>
      <c r="E53" s="23" t="s">
        <v>51</v>
      </c>
      <c r="F53" s="29">
        <v>1875</v>
      </c>
      <c r="G53" s="29">
        <f t="shared" si="2"/>
        <v>234375</v>
      </c>
    </row>
    <row r="54" spans="1:7" x14ac:dyDescent="0.25">
      <c r="A54" s="12"/>
      <c r="B54" s="40" t="s">
        <v>48</v>
      </c>
      <c r="C54" s="40"/>
      <c r="D54" s="40"/>
      <c r="E54" s="40"/>
      <c r="F54" s="40"/>
      <c r="G54" s="45">
        <f>SUM(G50:G53)</f>
        <v>356345.5</v>
      </c>
    </row>
    <row r="55" spans="1:7" x14ac:dyDescent="0.25">
      <c r="A55" s="12"/>
      <c r="B55" s="21" t="s">
        <v>73</v>
      </c>
      <c r="C55" s="22" t="s">
        <v>71</v>
      </c>
      <c r="D55" s="22">
        <v>1</v>
      </c>
      <c r="E55" s="23" t="s">
        <v>72</v>
      </c>
      <c r="F55" s="24">
        <v>75000</v>
      </c>
      <c r="G55" s="24">
        <f>+F55*D55</f>
        <v>75000</v>
      </c>
    </row>
    <row r="56" spans="1:7" x14ac:dyDescent="0.25">
      <c r="A56" s="12"/>
      <c r="B56" s="40" t="s">
        <v>48</v>
      </c>
      <c r="C56" s="40"/>
      <c r="D56" s="40"/>
      <c r="E56" s="40"/>
      <c r="F56" s="40"/>
      <c r="G56" s="45">
        <f>SUM(G55)</f>
        <v>75000</v>
      </c>
    </row>
    <row r="57" spans="1:7" x14ac:dyDescent="0.25">
      <c r="A57" s="12"/>
      <c r="B57" s="95" t="s">
        <v>135</v>
      </c>
      <c r="C57" s="40"/>
      <c r="D57" s="40"/>
      <c r="E57" s="40"/>
      <c r="F57" s="40"/>
      <c r="G57" s="45">
        <f>+G56+G54+G48</f>
        <v>1568615.5</v>
      </c>
    </row>
    <row r="58" spans="1:7" x14ac:dyDescent="0.25">
      <c r="A58" s="12"/>
      <c r="B58" s="8"/>
      <c r="C58" s="9"/>
      <c r="D58" s="9"/>
      <c r="E58" s="9"/>
      <c r="F58" s="2"/>
      <c r="G58" s="8"/>
    </row>
    <row r="59" spans="1:7" x14ac:dyDescent="0.25">
      <c r="A59" s="12"/>
      <c r="B59" s="48" t="s">
        <v>57</v>
      </c>
      <c r="C59" s="10"/>
      <c r="D59" s="10"/>
      <c r="E59" s="10"/>
      <c r="F59" s="11"/>
      <c r="G59" s="11"/>
    </row>
    <row r="60" spans="1:7" ht="18" x14ac:dyDescent="0.25">
      <c r="A60" s="12"/>
      <c r="B60" s="43" t="s">
        <v>58</v>
      </c>
      <c r="C60" s="40" t="s">
        <v>45</v>
      </c>
      <c r="D60" s="40" t="s">
        <v>46</v>
      </c>
      <c r="E60" s="43" t="s">
        <v>59</v>
      </c>
      <c r="F60" s="40" t="s">
        <v>27</v>
      </c>
      <c r="G60" s="43" t="s">
        <v>28</v>
      </c>
    </row>
    <row r="61" spans="1:7" x14ac:dyDescent="0.25">
      <c r="A61" s="12"/>
      <c r="B61" s="49" t="s">
        <v>87</v>
      </c>
      <c r="C61" s="34" t="s">
        <v>88</v>
      </c>
      <c r="D61" s="34">
        <v>1</v>
      </c>
      <c r="E61" s="33" t="s">
        <v>89</v>
      </c>
      <c r="F61" s="50">
        <v>400000</v>
      </c>
      <c r="G61" s="51">
        <f>+F61*D61</f>
        <v>400000</v>
      </c>
    </row>
    <row r="62" spans="1:7" x14ac:dyDescent="0.25">
      <c r="A62" s="12"/>
      <c r="B62" s="49" t="s">
        <v>90</v>
      </c>
      <c r="C62" s="34" t="s">
        <v>88</v>
      </c>
      <c r="D62" s="34">
        <v>6</v>
      </c>
      <c r="E62" s="33" t="s">
        <v>89</v>
      </c>
      <c r="F62" s="50">
        <v>100000</v>
      </c>
      <c r="G62" s="51">
        <f>+F62*D62</f>
        <v>600000</v>
      </c>
    </row>
    <row r="63" spans="1:7" x14ac:dyDescent="0.25">
      <c r="A63" s="12"/>
      <c r="B63" s="94" t="s">
        <v>134</v>
      </c>
      <c r="C63" s="23" t="s">
        <v>24</v>
      </c>
      <c r="D63" s="28">
        <v>2</v>
      </c>
      <c r="E63" s="23"/>
      <c r="F63" s="29">
        <v>50000</v>
      </c>
      <c r="G63" s="29">
        <f t="shared" ref="G63" si="3">+D63*F63</f>
        <v>100000</v>
      </c>
    </row>
    <row r="64" spans="1:7" x14ac:dyDescent="0.25">
      <c r="A64" s="12"/>
      <c r="B64" s="90"/>
      <c r="C64" s="91"/>
      <c r="D64" s="91"/>
      <c r="E64" s="92"/>
      <c r="F64" s="93"/>
      <c r="G64" s="93"/>
    </row>
    <row r="65" spans="1:9" x14ac:dyDescent="0.25">
      <c r="A65" s="12"/>
      <c r="B65" s="46" t="s">
        <v>60</v>
      </c>
      <c r="C65" s="42"/>
      <c r="D65" s="42"/>
      <c r="E65" s="42"/>
      <c r="F65" s="46"/>
      <c r="G65" s="47">
        <f>SUM(G61:G63)</f>
        <v>1100000</v>
      </c>
    </row>
    <row r="66" spans="1:9" x14ac:dyDescent="0.25">
      <c r="A66" s="12"/>
      <c r="B66" s="8"/>
      <c r="C66" s="2"/>
      <c r="D66" s="2"/>
      <c r="E66" s="2"/>
      <c r="F66" s="2"/>
      <c r="G66" s="8"/>
    </row>
    <row r="67" spans="1:9" x14ac:dyDescent="0.25">
      <c r="A67" s="12"/>
      <c r="B67" s="108" t="s">
        <v>61</v>
      </c>
      <c r="C67" s="109"/>
      <c r="D67" s="109"/>
      <c r="E67" s="109"/>
      <c r="F67" s="109"/>
      <c r="G67" s="110">
        <f>+G65+G57+G36+G30</f>
        <v>5541415.5</v>
      </c>
      <c r="H67" s="52"/>
      <c r="I67" s="52"/>
    </row>
    <row r="68" spans="1:9" x14ac:dyDescent="0.25">
      <c r="A68" s="12"/>
      <c r="B68" s="111" t="s">
        <v>62</v>
      </c>
      <c r="C68" s="112"/>
      <c r="D68" s="112"/>
      <c r="E68" s="112"/>
      <c r="F68" s="112"/>
      <c r="G68" s="113">
        <f>0.05*G67</f>
        <v>277070.77500000002</v>
      </c>
      <c r="H68" s="52"/>
      <c r="I68" s="52"/>
    </row>
    <row r="69" spans="1:9" x14ac:dyDescent="0.25">
      <c r="A69" s="12"/>
      <c r="B69" s="108" t="s">
        <v>63</v>
      </c>
      <c r="C69" s="109"/>
      <c r="D69" s="109"/>
      <c r="E69" s="109"/>
      <c r="F69" s="109"/>
      <c r="G69" s="110">
        <f>SUM(G67:G68)</f>
        <v>5818486.2750000004</v>
      </c>
      <c r="H69" s="52"/>
      <c r="I69" s="52"/>
    </row>
    <row r="70" spans="1:9" x14ac:dyDescent="0.25">
      <c r="A70" s="12"/>
      <c r="B70" s="111" t="s">
        <v>64</v>
      </c>
      <c r="C70" s="112"/>
      <c r="D70" s="112"/>
      <c r="E70" s="112"/>
      <c r="F70" s="112"/>
      <c r="G70" s="113">
        <f>+G13</f>
        <v>5625000</v>
      </c>
      <c r="H70" s="52"/>
      <c r="I70" s="52"/>
    </row>
    <row r="71" spans="1:9" x14ac:dyDescent="0.25">
      <c r="A71" s="12"/>
      <c r="B71" s="108" t="s">
        <v>65</v>
      </c>
      <c r="C71" s="109"/>
      <c r="D71" s="109"/>
      <c r="E71" s="109"/>
      <c r="F71" s="109"/>
      <c r="G71" s="110">
        <f>+G70-G69</f>
        <v>-193486.27500000037</v>
      </c>
      <c r="H71" s="52"/>
      <c r="I71" s="52"/>
    </row>
    <row r="72" spans="1:9" x14ac:dyDescent="0.25">
      <c r="A72" s="12"/>
      <c r="B72" s="12"/>
      <c r="C72" s="12"/>
      <c r="D72" s="12"/>
      <c r="E72" s="12"/>
      <c r="F72" s="12"/>
      <c r="G72" s="12"/>
      <c r="H72" s="52"/>
      <c r="I72" s="52"/>
    </row>
    <row r="73" spans="1:9" x14ac:dyDescent="0.25">
      <c r="A73" s="12"/>
      <c r="B73" s="12" t="s">
        <v>91</v>
      </c>
      <c r="C73" s="12"/>
      <c r="D73" s="12"/>
      <c r="E73" s="12"/>
      <c r="F73" s="12"/>
      <c r="G73" s="12"/>
      <c r="H73" s="52"/>
      <c r="I73" s="52"/>
    </row>
    <row r="74" spans="1:9" ht="15.75" thickBot="1" x14ac:dyDescent="0.3">
      <c r="A74" s="12"/>
      <c r="B74" s="12"/>
      <c r="C74" s="12"/>
      <c r="D74" s="12"/>
      <c r="E74" s="12"/>
      <c r="F74" s="12"/>
      <c r="G74" s="12"/>
    </row>
    <row r="75" spans="1:9" x14ac:dyDescent="0.25">
      <c r="A75" s="12"/>
      <c r="B75" s="58" t="s">
        <v>111</v>
      </c>
      <c r="C75" s="59"/>
      <c r="D75" s="59"/>
      <c r="E75" s="59"/>
      <c r="F75" s="60"/>
      <c r="G75" s="56"/>
    </row>
    <row r="76" spans="1:9" x14ac:dyDescent="0.25">
      <c r="A76" s="12"/>
      <c r="B76" s="61" t="s">
        <v>112</v>
      </c>
      <c r="C76" s="62"/>
      <c r="D76" s="62"/>
      <c r="E76" s="62"/>
      <c r="F76" s="63"/>
      <c r="G76" s="56"/>
    </row>
    <row r="77" spans="1:9" x14ac:dyDescent="0.25">
      <c r="A77" s="12"/>
      <c r="B77" s="61" t="s">
        <v>113</v>
      </c>
      <c r="C77" s="62"/>
      <c r="D77" s="62"/>
      <c r="E77" s="62"/>
      <c r="F77" s="63"/>
      <c r="G77" s="56"/>
    </row>
    <row r="78" spans="1:9" x14ac:dyDescent="0.25">
      <c r="A78" s="12"/>
      <c r="B78" s="61" t="s">
        <v>114</v>
      </c>
      <c r="C78" s="62"/>
      <c r="D78" s="62"/>
      <c r="E78" s="62"/>
      <c r="F78" s="63"/>
      <c r="G78" s="56"/>
    </row>
    <row r="79" spans="1:9" x14ac:dyDescent="0.25">
      <c r="A79" s="12"/>
      <c r="B79" s="61" t="s">
        <v>115</v>
      </c>
      <c r="C79" s="62"/>
      <c r="D79" s="62"/>
      <c r="E79" s="62"/>
      <c r="F79" s="63"/>
      <c r="G79" s="56"/>
    </row>
    <row r="80" spans="1:9" x14ac:dyDescent="0.25">
      <c r="A80" s="12"/>
      <c r="B80" s="61" t="s">
        <v>116</v>
      </c>
      <c r="C80" s="62"/>
      <c r="D80" s="62"/>
      <c r="E80" s="62"/>
      <c r="F80" s="63"/>
      <c r="G80" s="56"/>
    </row>
    <row r="81" spans="2:7" ht="45.75" thickBot="1" x14ac:dyDescent="0.3">
      <c r="B81" s="89" t="s">
        <v>133</v>
      </c>
      <c r="C81" s="65"/>
      <c r="D81" s="65"/>
      <c r="E81" s="65"/>
      <c r="F81" s="66"/>
      <c r="G81" s="56"/>
    </row>
    <row r="82" spans="2:7" x14ac:dyDescent="0.25">
      <c r="B82" s="67"/>
      <c r="C82" s="62"/>
      <c r="D82" s="62"/>
      <c r="E82" s="62"/>
      <c r="F82" s="62"/>
      <c r="G82" s="56"/>
    </row>
    <row r="83" spans="2:7" x14ac:dyDescent="0.25">
      <c r="B83" s="121" t="s">
        <v>118</v>
      </c>
      <c r="C83" s="122"/>
      <c r="D83" s="84"/>
      <c r="E83" s="75"/>
      <c r="F83" s="75"/>
      <c r="G83" s="56"/>
    </row>
    <row r="84" spans="2:7" x14ac:dyDescent="0.25">
      <c r="B84" s="97" t="s">
        <v>58</v>
      </c>
      <c r="C84" s="98" t="s">
        <v>119</v>
      </c>
      <c r="D84" s="99" t="s">
        <v>120</v>
      </c>
      <c r="E84" s="75"/>
      <c r="F84" s="75"/>
      <c r="G84" s="56"/>
    </row>
    <row r="85" spans="2:7" x14ac:dyDescent="0.25">
      <c r="B85" s="68" t="s">
        <v>121</v>
      </c>
      <c r="C85" s="69">
        <f>G30</f>
        <v>2452800</v>
      </c>
      <c r="D85" s="70">
        <f>+C85/C90</f>
        <v>0.42155294076035266</v>
      </c>
      <c r="E85" s="75"/>
      <c r="F85" s="75"/>
      <c r="G85" s="56"/>
    </row>
    <row r="86" spans="2:7" x14ac:dyDescent="0.25">
      <c r="B86" s="68" t="s">
        <v>122</v>
      </c>
      <c r="C86" s="69">
        <f>G36</f>
        <v>420000</v>
      </c>
      <c r="D86" s="70">
        <f>(C86/C90)</f>
        <v>7.2183722732937092E-2</v>
      </c>
      <c r="E86" s="75"/>
      <c r="F86" s="75"/>
      <c r="G86" s="56"/>
    </row>
    <row r="87" spans="2:7" x14ac:dyDescent="0.25">
      <c r="B87" s="68" t="s">
        <v>44</v>
      </c>
      <c r="C87" s="69">
        <f>G57</f>
        <v>1568615.5</v>
      </c>
      <c r="D87" s="70">
        <f>(C87/C90)</f>
        <v>0.26959168172997022</v>
      </c>
      <c r="E87" s="75"/>
      <c r="F87" s="75"/>
      <c r="G87" s="56"/>
    </row>
    <row r="88" spans="2:7" x14ac:dyDescent="0.25">
      <c r="B88" s="68" t="s">
        <v>123</v>
      </c>
      <c r="C88" s="71">
        <f>G65</f>
        <v>1100000</v>
      </c>
      <c r="D88" s="70">
        <f>(C88/C90)</f>
        <v>0.1890526071576924</v>
      </c>
      <c r="E88" s="76"/>
      <c r="F88" s="76"/>
      <c r="G88" s="56"/>
    </row>
    <row r="89" spans="2:7" x14ac:dyDescent="0.25">
      <c r="B89" s="68" t="s">
        <v>56</v>
      </c>
      <c r="C89" s="71">
        <f>G68</f>
        <v>277070.77500000002</v>
      </c>
      <c r="D89" s="70">
        <f>(C89/C90)</f>
        <v>4.7619047619047623E-2</v>
      </c>
      <c r="E89" s="76"/>
      <c r="F89" s="76"/>
      <c r="G89" s="56"/>
    </row>
    <row r="90" spans="2:7" ht="15.75" thickBot="1" x14ac:dyDescent="0.3">
      <c r="B90" s="100" t="s">
        <v>124</v>
      </c>
      <c r="C90" s="101">
        <f>SUM(C85:C89)</f>
        <v>5818486.2750000004</v>
      </c>
      <c r="D90" s="102">
        <f>SUM(D85:D89)</f>
        <v>1</v>
      </c>
      <c r="E90" s="76"/>
      <c r="F90" s="76"/>
      <c r="G90" s="56"/>
    </row>
    <row r="91" spans="2:7" x14ac:dyDescent="0.25">
      <c r="B91" s="54"/>
      <c r="C91" s="55"/>
      <c r="D91" s="55"/>
      <c r="E91" s="55"/>
      <c r="F91" s="55"/>
      <c r="G91" s="56"/>
    </row>
    <row r="92" spans="2:7" x14ac:dyDescent="0.25">
      <c r="B92" s="72"/>
      <c r="C92" s="55"/>
      <c r="D92" s="55"/>
      <c r="E92" s="55"/>
      <c r="F92" s="55"/>
      <c r="G92" s="56"/>
    </row>
    <row r="93" spans="2:7" x14ac:dyDescent="0.25">
      <c r="B93" s="85" t="s">
        <v>129</v>
      </c>
      <c r="C93" s="86"/>
      <c r="D93" s="87"/>
      <c r="E93" s="88"/>
      <c r="G93" s="56"/>
    </row>
    <row r="94" spans="2:7" x14ac:dyDescent="0.25">
      <c r="B94" s="114" t="s">
        <v>131</v>
      </c>
      <c r="C94" s="115">
        <v>8</v>
      </c>
      <c r="D94" s="116">
        <v>10</v>
      </c>
      <c r="E94" s="106">
        <v>14</v>
      </c>
      <c r="G94" s="73"/>
    </row>
    <row r="95" spans="2:7" ht="15.75" thickBot="1" x14ac:dyDescent="0.3">
      <c r="B95" s="100" t="s">
        <v>132</v>
      </c>
      <c r="C95" s="117">
        <f>G69/1000</f>
        <v>5818.4862750000002</v>
      </c>
      <c r="D95" s="101">
        <f>G69/1250</f>
        <v>4654.7890200000002</v>
      </c>
      <c r="E95" s="107">
        <f>G69/1750</f>
        <v>3324.8493000000003</v>
      </c>
      <c r="G95" s="73"/>
    </row>
    <row r="96" spans="2:7" x14ac:dyDescent="0.25">
      <c r="B96" s="74" t="s">
        <v>125</v>
      </c>
      <c r="C96" s="62"/>
      <c r="D96" s="62"/>
      <c r="E96" s="62"/>
      <c r="F96" s="62"/>
      <c r="G96" s="62"/>
    </row>
  </sheetData>
  <mergeCells count="9">
    <mergeCell ref="B83:C83"/>
    <mergeCell ref="E16:F16"/>
    <mergeCell ref="B18:G18"/>
    <mergeCell ref="E10:F10"/>
    <mergeCell ref="E11:F11"/>
    <mergeCell ref="E12:F12"/>
    <mergeCell ref="E13:F13"/>
    <mergeCell ref="E14:F14"/>
    <mergeCell ref="E15:F15"/>
  </mergeCells>
  <pageMargins left="0.70866141732283472" right="0.70866141732283472" top="0.74803149606299213" bottom="0.35433070866141736" header="0.31496062992125984" footer="0.31496062992125984"/>
  <pageSetup paperSize="190" scale="9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92"/>
  <sheetViews>
    <sheetView topLeftCell="B1" workbookViewId="0">
      <selection activeCell="K23" sqref="K23"/>
    </sheetView>
  </sheetViews>
  <sheetFormatPr baseColWidth="10" defaultRowHeight="15" x14ac:dyDescent="0.25"/>
  <cols>
    <col min="2" max="2" width="30" bestFit="1" customWidth="1"/>
    <col min="3" max="3" width="15.28515625" customWidth="1"/>
    <col min="4" max="4" width="9.85546875" bestFit="1" customWidth="1"/>
    <col min="5" max="5" width="12.140625" bestFit="1" customWidth="1"/>
    <col min="6" max="6" width="9.5703125" bestFit="1" customWidth="1"/>
    <col min="7" max="7" width="11.7109375" bestFit="1" customWidth="1"/>
    <col min="8" max="8" width="5.140625" customWidth="1"/>
  </cols>
  <sheetData>
    <row r="8" spans="2:9" ht="27" customHeight="1" x14ac:dyDescent="0.25">
      <c r="B8" s="96" t="s">
        <v>0</v>
      </c>
      <c r="C8" s="13" t="s">
        <v>1</v>
      </c>
      <c r="D8" s="1"/>
      <c r="E8" s="128" t="s">
        <v>137</v>
      </c>
      <c r="F8" s="129"/>
      <c r="G8" s="35">
        <v>125</v>
      </c>
      <c r="I8" s="35">
        <f>125*2</f>
        <v>250</v>
      </c>
    </row>
    <row r="9" spans="2:9" ht="27" customHeight="1" x14ac:dyDescent="0.25">
      <c r="B9" s="32" t="s">
        <v>2</v>
      </c>
      <c r="C9" s="15" t="s">
        <v>3</v>
      </c>
      <c r="D9" s="1"/>
      <c r="E9" s="127" t="s">
        <v>4</v>
      </c>
      <c r="F9" s="127"/>
      <c r="G9" s="16" t="s">
        <v>5</v>
      </c>
      <c r="I9" s="16" t="s">
        <v>5</v>
      </c>
    </row>
    <row r="10" spans="2:9" ht="27" customHeight="1" x14ac:dyDescent="0.25">
      <c r="B10" s="32" t="s">
        <v>6</v>
      </c>
      <c r="C10" s="13" t="s">
        <v>7</v>
      </c>
      <c r="D10" s="1"/>
      <c r="E10" s="127" t="s">
        <v>108</v>
      </c>
      <c r="F10" s="127"/>
      <c r="G10" s="19">
        <v>18500</v>
      </c>
      <c r="I10" s="19">
        <v>4500</v>
      </c>
    </row>
    <row r="11" spans="2:9" ht="27" customHeight="1" x14ac:dyDescent="0.25">
      <c r="B11" s="32" t="s">
        <v>9</v>
      </c>
      <c r="C11" s="13" t="s">
        <v>10</v>
      </c>
      <c r="D11" s="2"/>
      <c r="E11" s="127" t="s">
        <v>11</v>
      </c>
      <c r="F11" s="127"/>
      <c r="G11" s="19">
        <f>+(G10*G8)*3</f>
        <v>6937500</v>
      </c>
      <c r="I11" s="19">
        <f>+I8*I10</f>
        <v>1125000</v>
      </c>
    </row>
    <row r="12" spans="2:9" ht="27" customHeight="1" x14ac:dyDescent="0.25">
      <c r="B12" s="32" t="s">
        <v>12</v>
      </c>
      <c r="C12" s="13" t="s">
        <v>13</v>
      </c>
      <c r="D12" s="2"/>
      <c r="E12" s="127" t="s">
        <v>92</v>
      </c>
      <c r="F12" s="127"/>
      <c r="G12" s="20" t="s">
        <v>15</v>
      </c>
      <c r="I12" s="20" t="s">
        <v>15</v>
      </c>
    </row>
    <row r="13" spans="2:9" ht="27" customHeight="1" x14ac:dyDescent="0.25">
      <c r="B13" s="32" t="s">
        <v>16</v>
      </c>
      <c r="C13" s="16" t="s">
        <v>13</v>
      </c>
      <c r="D13" s="2"/>
      <c r="E13" s="127" t="s">
        <v>17</v>
      </c>
      <c r="F13" s="127"/>
      <c r="G13" s="15" t="s">
        <v>67</v>
      </c>
      <c r="I13" s="15" t="s">
        <v>110</v>
      </c>
    </row>
    <row r="14" spans="2:9" ht="27" customHeight="1" x14ac:dyDescent="0.25">
      <c r="B14" s="32" t="s">
        <v>19</v>
      </c>
      <c r="C14" s="17">
        <v>44958</v>
      </c>
      <c r="D14" s="2"/>
      <c r="E14" s="123" t="s">
        <v>20</v>
      </c>
      <c r="F14" s="123"/>
      <c r="G14" s="15" t="s">
        <v>21</v>
      </c>
      <c r="I14" s="15" t="s">
        <v>21</v>
      </c>
    </row>
    <row r="15" spans="2:9" x14ac:dyDescent="0.25">
      <c r="B15" s="3"/>
      <c r="C15" s="4"/>
      <c r="D15" s="1"/>
      <c r="E15" s="2"/>
      <c r="F15" s="2"/>
      <c r="G15" s="5"/>
    </row>
    <row r="16" spans="2:9" x14ac:dyDescent="0.25">
      <c r="B16" s="124" t="s">
        <v>66</v>
      </c>
      <c r="C16" s="124"/>
      <c r="D16" s="124"/>
      <c r="E16" s="124"/>
      <c r="F16" s="124"/>
      <c r="G16" s="124"/>
    </row>
    <row r="17" spans="2:7" x14ac:dyDescent="0.25">
      <c r="B17" s="1"/>
      <c r="C17" s="6"/>
      <c r="D17" s="6"/>
      <c r="E17" s="7"/>
      <c r="F17" s="8"/>
      <c r="G17" s="1"/>
    </row>
    <row r="18" spans="2:7" x14ac:dyDescent="0.25">
      <c r="B18" s="48" t="s">
        <v>22</v>
      </c>
      <c r="C18" s="2"/>
      <c r="D18" s="2"/>
      <c r="E18" s="2"/>
      <c r="F18" s="2"/>
      <c r="G18" s="2"/>
    </row>
    <row r="19" spans="2:7" ht="18" x14ac:dyDescent="0.25">
      <c r="B19" s="40" t="s">
        <v>23</v>
      </c>
      <c r="C19" s="40" t="s">
        <v>24</v>
      </c>
      <c r="D19" s="40" t="s">
        <v>25</v>
      </c>
      <c r="E19" s="40" t="s">
        <v>26</v>
      </c>
      <c r="F19" s="40" t="s">
        <v>27</v>
      </c>
      <c r="G19" s="40" t="s">
        <v>28</v>
      </c>
    </row>
    <row r="20" spans="2:7" x14ac:dyDescent="0.25">
      <c r="B20" s="21" t="s">
        <v>94</v>
      </c>
      <c r="C20" s="22" t="s">
        <v>30</v>
      </c>
      <c r="D20" s="22">
        <v>25</v>
      </c>
      <c r="E20" s="23" t="s">
        <v>31</v>
      </c>
      <c r="F20" s="24">
        <v>33600</v>
      </c>
      <c r="G20" s="24">
        <f>F20*D20</f>
        <v>840000</v>
      </c>
    </row>
    <row r="21" spans="2:7" x14ac:dyDescent="0.25">
      <c r="B21" s="21" t="s">
        <v>95</v>
      </c>
      <c r="C21" s="22" t="s">
        <v>30</v>
      </c>
      <c r="D21" s="22">
        <v>5</v>
      </c>
      <c r="E21" s="23" t="s">
        <v>33</v>
      </c>
      <c r="F21" s="24">
        <v>33600</v>
      </c>
      <c r="G21" s="24">
        <f>F21*D21</f>
        <v>168000</v>
      </c>
    </row>
    <row r="22" spans="2:7" x14ac:dyDescent="0.25">
      <c r="B22" s="21" t="s">
        <v>96</v>
      </c>
      <c r="C22" s="22" t="s">
        <v>30</v>
      </c>
      <c r="D22" s="22">
        <v>10</v>
      </c>
      <c r="E22" s="23" t="s">
        <v>97</v>
      </c>
      <c r="F22" s="24">
        <v>33600</v>
      </c>
      <c r="G22" s="24">
        <f t="shared" ref="G22" si="0">F22*D22</f>
        <v>336000</v>
      </c>
    </row>
    <row r="23" spans="2:7" x14ac:dyDescent="0.25">
      <c r="B23" s="21" t="s">
        <v>98</v>
      </c>
      <c r="C23" s="22" t="s">
        <v>30</v>
      </c>
      <c r="D23" s="22">
        <v>1</v>
      </c>
      <c r="E23" s="23" t="s">
        <v>126</v>
      </c>
      <c r="F23" s="24">
        <v>33600</v>
      </c>
      <c r="G23" s="24">
        <f>F23*D23</f>
        <v>33600</v>
      </c>
    </row>
    <row r="24" spans="2:7" x14ac:dyDescent="0.25">
      <c r="B24" s="21" t="s">
        <v>99</v>
      </c>
      <c r="C24" s="22" t="s">
        <v>30</v>
      </c>
      <c r="D24" s="22">
        <v>2</v>
      </c>
      <c r="E24" s="23" t="s">
        <v>127</v>
      </c>
      <c r="F24" s="24">
        <v>33600</v>
      </c>
      <c r="G24" s="24">
        <f>F24*D24</f>
        <v>67200</v>
      </c>
    </row>
    <row r="25" spans="2:7" x14ac:dyDescent="0.25">
      <c r="B25" s="41" t="s">
        <v>40</v>
      </c>
      <c r="C25" s="42"/>
      <c r="D25" s="43"/>
      <c r="E25" s="42"/>
      <c r="F25" s="44"/>
      <c r="G25" s="44">
        <f>SUM(G20:G24)</f>
        <v>1444800</v>
      </c>
    </row>
    <row r="26" spans="2:7" x14ac:dyDescent="0.25">
      <c r="B26" s="2"/>
      <c r="C26" s="9"/>
      <c r="D26" s="9"/>
      <c r="E26" s="9"/>
      <c r="F26" s="2"/>
      <c r="G26" s="2"/>
    </row>
    <row r="27" spans="2:7" x14ac:dyDescent="0.25">
      <c r="B27" s="48" t="s">
        <v>41</v>
      </c>
      <c r="C27" s="10"/>
      <c r="D27" s="10"/>
      <c r="E27" s="10"/>
      <c r="F27" s="11"/>
      <c r="G27" s="11"/>
    </row>
    <row r="28" spans="2:7" ht="18" x14ac:dyDescent="0.25">
      <c r="B28" s="43" t="s">
        <v>58</v>
      </c>
      <c r="C28" s="40" t="s">
        <v>45</v>
      </c>
      <c r="D28" s="40" t="s">
        <v>46</v>
      </c>
      <c r="E28" s="43" t="s">
        <v>59</v>
      </c>
      <c r="F28" s="40" t="s">
        <v>27</v>
      </c>
      <c r="G28" s="43" t="s">
        <v>28</v>
      </c>
    </row>
    <row r="29" spans="2:7" x14ac:dyDescent="0.25">
      <c r="B29" s="49" t="s">
        <v>128</v>
      </c>
      <c r="C29" s="34" t="s">
        <v>104</v>
      </c>
      <c r="D29" s="34">
        <v>2</v>
      </c>
      <c r="E29" s="33" t="s">
        <v>103</v>
      </c>
      <c r="F29" s="80">
        <v>40000</v>
      </c>
      <c r="G29" s="81">
        <f>+F29*D29</f>
        <v>80000</v>
      </c>
    </row>
    <row r="30" spans="2:7" x14ac:dyDescent="0.25">
      <c r="B30" s="36"/>
      <c r="C30" s="33"/>
      <c r="D30" s="37"/>
      <c r="E30" s="33"/>
      <c r="F30" s="38"/>
      <c r="G30" s="38"/>
    </row>
    <row r="31" spans="2:7" x14ac:dyDescent="0.25">
      <c r="B31" s="46" t="s">
        <v>60</v>
      </c>
      <c r="C31" s="42"/>
      <c r="D31" s="42"/>
      <c r="E31" s="42"/>
      <c r="F31" s="46"/>
      <c r="G31" s="47">
        <f>SUM(G29:G30)</f>
        <v>80000</v>
      </c>
    </row>
    <row r="32" spans="2:7" x14ac:dyDescent="0.25">
      <c r="B32" s="2"/>
      <c r="C32" s="9"/>
      <c r="D32" s="9"/>
      <c r="E32" s="9"/>
      <c r="F32" s="2"/>
      <c r="G32" s="2"/>
    </row>
    <row r="33" spans="2:7" x14ac:dyDescent="0.25">
      <c r="B33" s="48" t="s">
        <v>43</v>
      </c>
      <c r="C33" s="9"/>
      <c r="D33" s="9"/>
      <c r="E33" s="9"/>
      <c r="F33" s="2"/>
      <c r="G33" s="2"/>
    </row>
    <row r="34" spans="2:7" ht="18" x14ac:dyDescent="0.25">
      <c r="B34" s="40" t="s">
        <v>44</v>
      </c>
      <c r="C34" s="40" t="s">
        <v>45</v>
      </c>
      <c r="D34" s="40" t="s">
        <v>46</v>
      </c>
      <c r="E34" s="40" t="s">
        <v>26</v>
      </c>
      <c r="F34" s="40" t="s">
        <v>27</v>
      </c>
      <c r="G34" s="40" t="s">
        <v>28</v>
      </c>
    </row>
    <row r="35" spans="2:7" x14ac:dyDescent="0.25">
      <c r="B35" s="21" t="s">
        <v>93</v>
      </c>
      <c r="C35" s="22" t="s">
        <v>86</v>
      </c>
      <c r="D35" s="25">
        <v>500</v>
      </c>
      <c r="E35" s="23" t="s">
        <v>74</v>
      </c>
      <c r="F35" s="26">
        <v>625</v>
      </c>
      <c r="G35" s="24">
        <f>+F35*D35</f>
        <v>312500</v>
      </c>
    </row>
    <row r="36" spans="2:7" x14ac:dyDescent="0.25">
      <c r="B36" s="21" t="s">
        <v>79</v>
      </c>
      <c r="C36" s="22" t="s">
        <v>54</v>
      </c>
      <c r="D36" s="25">
        <v>40</v>
      </c>
      <c r="E36" s="23" t="s">
        <v>72</v>
      </c>
      <c r="F36" s="26">
        <v>4588</v>
      </c>
      <c r="G36" s="24">
        <f t="shared" ref="G36:G40" si="1">+F36*D36</f>
        <v>183520</v>
      </c>
    </row>
    <row r="37" spans="2:7" x14ac:dyDescent="0.25">
      <c r="B37" s="21" t="s">
        <v>80</v>
      </c>
      <c r="C37" s="22" t="s">
        <v>54</v>
      </c>
      <c r="D37" s="25">
        <v>1</v>
      </c>
      <c r="E37" s="23" t="s">
        <v>72</v>
      </c>
      <c r="F37" s="26">
        <v>18750</v>
      </c>
      <c r="G37" s="24">
        <f t="shared" si="1"/>
        <v>18750</v>
      </c>
    </row>
    <row r="38" spans="2:7" x14ac:dyDescent="0.25">
      <c r="B38" s="21" t="s">
        <v>81</v>
      </c>
      <c r="C38" s="22" t="s">
        <v>54</v>
      </c>
      <c r="D38" s="25">
        <v>40</v>
      </c>
      <c r="E38" s="23" t="s">
        <v>72</v>
      </c>
      <c r="F38" s="26">
        <v>1875</v>
      </c>
      <c r="G38" s="24">
        <f t="shared" si="1"/>
        <v>75000</v>
      </c>
    </row>
    <row r="39" spans="2:7" x14ac:dyDescent="0.25">
      <c r="B39" s="21" t="s">
        <v>82</v>
      </c>
      <c r="C39" s="22" t="s">
        <v>54</v>
      </c>
      <c r="D39" s="25">
        <v>10</v>
      </c>
      <c r="E39" s="23" t="s">
        <v>72</v>
      </c>
      <c r="F39" s="26">
        <v>18750</v>
      </c>
      <c r="G39" s="24">
        <f t="shared" si="1"/>
        <v>187500</v>
      </c>
    </row>
    <row r="40" spans="2:7" x14ac:dyDescent="0.25">
      <c r="B40" s="21" t="s">
        <v>83</v>
      </c>
      <c r="C40" s="22" t="s">
        <v>54</v>
      </c>
      <c r="D40" s="25">
        <v>10</v>
      </c>
      <c r="E40" s="23" t="s">
        <v>72</v>
      </c>
      <c r="F40" s="26">
        <v>3125</v>
      </c>
      <c r="G40" s="24">
        <f t="shared" si="1"/>
        <v>31250</v>
      </c>
    </row>
    <row r="41" spans="2:7" x14ac:dyDescent="0.25">
      <c r="B41" s="30" t="s">
        <v>100</v>
      </c>
      <c r="C41" s="23" t="s">
        <v>24</v>
      </c>
      <c r="D41" s="28">
        <v>250</v>
      </c>
      <c r="E41" s="23" t="s">
        <v>101</v>
      </c>
      <c r="F41" s="29">
        <v>313</v>
      </c>
      <c r="G41" s="29">
        <f t="shared" ref="G41" si="2">+D41*F41</f>
        <v>78250</v>
      </c>
    </row>
    <row r="42" spans="2:7" x14ac:dyDescent="0.25">
      <c r="B42" s="21"/>
      <c r="C42" s="22"/>
      <c r="D42" s="25"/>
      <c r="E42" s="23"/>
      <c r="F42" s="26"/>
      <c r="G42" s="24"/>
    </row>
    <row r="43" spans="2:7" x14ac:dyDescent="0.25">
      <c r="B43" s="40" t="s">
        <v>48</v>
      </c>
      <c r="C43" s="40"/>
      <c r="D43" s="40"/>
      <c r="E43" s="40"/>
      <c r="F43" s="40"/>
      <c r="G43" s="45">
        <f>SUM(G35:G42)</f>
        <v>886770</v>
      </c>
    </row>
    <row r="44" spans="2:7" x14ac:dyDescent="0.25">
      <c r="B44" s="78"/>
      <c r="C44" s="78"/>
      <c r="D44" s="78"/>
      <c r="E44" s="78"/>
      <c r="F44" s="78"/>
      <c r="G44" s="79"/>
    </row>
    <row r="45" spans="2:7" s="82" customFormat="1" x14ac:dyDescent="0.25">
      <c r="B45" s="83" t="s">
        <v>49</v>
      </c>
      <c r="C45" s="78"/>
      <c r="D45" s="78"/>
      <c r="E45" s="78"/>
      <c r="F45" s="78"/>
      <c r="G45" s="79"/>
    </row>
    <row r="46" spans="2:7" ht="18" x14ac:dyDescent="0.25">
      <c r="B46" s="40" t="s">
        <v>44</v>
      </c>
      <c r="C46" s="40" t="s">
        <v>45</v>
      </c>
      <c r="D46" s="40" t="s">
        <v>46</v>
      </c>
      <c r="E46" s="40" t="s">
        <v>26</v>
      </c>
      <c r="F46" s="40" t="s">
        <v>27</v>
      </c>
      <c r="G46" s="40" t="s">
        <v>28</v>
      </c>
    </row>
    <row r="47" spans="2:7" x14ac:dyDescent="0.25">
      <c r="B47" s="30" t="s">
        <v>84</v>
      </c>
      <c r="C47" s="23" t="s">
        <v>86</v>
      </c>
      <c r="D47" s="31">
        <v>3.5</v>
      </c>
      <c r="E47" s="23" t="s">
        <v>38</v>
      </c>
      <c r="F47" s="29">
        <v>10563</v>
      </c>
      <c r="G47" s="29">
        <f t="shared" ref="G47:G50" si="3">+F47*D47</f>
        <v>36970.5</v>
      </c>
    </row>
    <row r="48" spans="2:7" x14ac:dyDescent="0.25">
      <c r="B48" s="30" t="s">
        <v>136</v>
      </c>
      <c r="C48" s="23" t="s">
        <v>86</v>
      </c>
      <c r="D48" s="28">
        <v>0.5</v>
      </c>
      <c r="E48" s="23"/>
      <c r="F48" s="29">
        <v>137500</v>
      </c>
      <c r="G48" s="29">
        <f t="shared" si="3"/>
        <v>68750</v>
      </c>
    </row>
    <row r="49" spans="2:7" x14ac:dyDescent="0.25">
      <c r="B49" s="30" t="s">
        <v>105</v>
      </c>
      <c r="C49" s="23" t="s">
        <v>86</v>
      </c>
      <c r="D49" s="31">
        <v>26</v>
      </c>
      <c r="E49" s="23" t="s">
        <v>50</v>
      </c>
      <c r="F49" s="29">
        <v>625</v>
      </c>
      <c r="G49" s="29">
        <f t="shared" si="3"/>
        <v>16250</v>
      </c>
    </row>
    <row r="50" spans="2:7" x14ac:dyDescent="0.25">
      <c r="B50" s="30" t="s">
        <v>106</v>
      </c>
      <c r="C50" s="23" t="s">
        <v>47</v>
      </c>
      <c r="D50" s="31">
        <v>125</v>
      </c>
      <c r="E50" s="23" t="s">
        <v>51</v>
      </c>
      <c r="F50" s="29">
        <v>2625</v>
      </c>
      <c r="G50" s="29">
        <f t="shared" si="3"/>
        <v>328125</v>
      </c>
    </row>
    <row r="51" spans="2:7" x14ac:dyDescent="0.25">
      <c r="B51" s="40" t="s">
        <v>48</v>
      </c>
      <c r="C51" s="40"/>
      <c r="D51" s="40"/>
      <c r="E51" s="40"/>
      <c r="F51" s="40"/>
      <c r="G51" s="45">
        <f>SUM(G47:G50)</f>
        <v>450095.5</v>
      </c>
    </row>
    <row r="52" spans="2:7" x14ac:dyDescent="0.25">
      <c r="B52" s="77"/>
      <c r="C52" s="78"/>
      <c r="D52" s="78"/>
      <c r="E52" s="78"/>
      <c r="F52" s="78"/>
      <c r="G52" s="79"/>
    </row>
    <row r="53" spans="2:7" x14ac:dyDescent="0.25">
      <c r="B53" s="48" t="s">
        <v>57</v>
      </c>
      <c r="C53" s="10"/>
      <c r="D53" s="10"/>
      <c r="E53" s="10"/>
      <c r="F53" s="11"/>
      <c r="G53" s="11"/>
    </row>
    <row r="54" spans="2:7" ht="18" x14ac:dyDescent="0.25">
      <c r="B54" s="43" t="s">
        <v>58</v>
      </c>
      <c r="C54" s="40" t="s">
        <v>45</v>
      </c>
      <c r="D54" s="40" t="s">
        <v>46</v>
      </c>
      <c r="E54" s="43" t="s">
        <v>59</v>
      </c>
      <c r="F54" s="40" t="s">
        <v>27</v>
      </c>
      <c r="G54" s="43" t="s">
        <v>28</v>
      </c>
    </row>
    <row r="55" spans="2:7" x14ac:dyDescent="0.25">
      <c r="B55" s="49" t="s">
        <v>90</v>
      </c>
      <c r="C55" s="34" t="s">
        <v>88</v>
      </c>
      <c r="D55" s="34">
        <v>10</v>
      </c>
      <c r="E55" s="33" t="s">
        <v>89</v>
      </c>
      <c r="F55" s="80">
        <v>150000</v>
      </c>
      <c r="G55" s="81">
        <f>+F55*D55</f>
        <v>1500000</v>
      </c>
    </row>
    <row r="56" spans="2:7" x14ac:dyDescent="0.25">
      <c r="B56" s="49" t="s">
        <v>102</v>
      </c>
      <c r="C56" s="34" t="s">
        <v>88</v>
      </c>
      <c r="D56" s="34">
        <v>1</v>
      </c>
      <c r="E56" s="33" t="s">
        <v>103</v>
      </c>
      <c r="F56" s="80">
        <v>700000</v>
      </c>
      <c r="G56" s="81">
        <f>+F56*D56</f>
        <v>700000</v>
      </c>
    </row>
    <row r="57" spans="2:7" x14ac:dyDescent="0.25">
      <c r="B57" s="36"/>
      <c r="C57" s="33"/>
      <c r="D57" s="37"/>
      <c r="E57" s="33"/>
      <c r="F57" s="38"/>
      <c r="G57" s="38"/>
    </row>
    <row r="58" spans="2:7" x14ac:dyDescent="0.25">
      <c r="B58" s="46" t="s">
        <v>60</v>
      </c>
      <c r="C58" s="42"/>
      <c r="D58" s="42"/>
      <c r="E58" s="42"/>
      <c r="F58" s="46"/>
      <c r="G58" s="47">
        <f>SUM(G55:G57)</f>
        <v>2200000</v>
      </c>
    </row>
    <row r="59" spans="2:7" x14ac:dyDescent="0.25">
      <c r="B59" s="8"/>
      <c r="C59" s="2"/>
      <c r="D59" s="2"/>
      <c r="E59" s="2"/>
      <c r="F59" s="2"/>
      <c r="G59" s="8"/>
    </row>
    <row r="60" spans="2:7" x14ac:dyDescent="0.25">
      <c r="B60" s="108" t="s">
        <v>61</v>
      </c>
      <c r="C60" s="109"/>
      <c r="D60" s="109"/>
      <c r="E60" s="109"/>
      <c r="F60" s="109"/>
      <c r="G60" s="110">
        <f>+G58+G51+G43+G25+G31</f>
        <v>5061665.5</v>
      </c>
    </row>
    <row r="61" spans="2:7" x14ac:dyDescent="0.25">
      <c r="B61" s="111" t="s">
        <v>62</v>
      </c>
      <c r="C61" s="112"/>
      <c r="D61" s="112"/>
      <c r="E61" s="112"/>
      <c r="F61" s="112"/>
      <c r="G61" s="113">
        <f>0.05*G60</f>
        <v>253083.27500000002</v>
      </c>
    </row>
    <row r="62" spans="2:7" x14ac:dyDescent="0.25">
      <c r="B62" s="108" t="s">
        <v>63</v>
      </c>
      <c r="C62" s="109"/>
      <c r="D62" s="109"/>
      <c r="E62" s="109"/>
      <c r="F62" s="109"/>
      <c r="G62" s="110">
        <f>SUM(G60:G61)</f>
        <v>5314748.7750000004</v>
      </c>
    </row>
    <row r="63" spans="2:7" x14ac:dyDescent="0.25">
      <c r="B63" s="111" t="s">
        <v>64</v>
      </c>
      <c r="C63" s="112"/>
      <c r="D63" s="112"/>
      <c r="E63" s="112"/>
      <c r="F63" s="112"/>
      <c r="G63" s="120">
        <f>G11</f>
        <v>6937500</v>
      </c>
    </row>
    <row r="64" spans="2:7" x14ac:dyDescent="0.25">
      <c r="B64" s="108" t="s">
        <v>65</v>
      </c>
      <c r="C64" s="109"/>
      <c r="D64" s="109"/>
      <c r="E64" s="109"/>
      <c r="F64" s="109"/>
      <c r="G64" s="110">
        <f>+G63-G62</f>
        <v>1622751.2249999996</v>
      </c>
    </row>
    <row r="66" spans="2:8" x14ac:dyDescent="0.25">
      <c r="B66" t="s">
        <v>107</v>
      </c>
    </row>
    <row r="68" spans="2:8" ht="15.75" thickBot="1" x14ac:dyDescent="0.3">
      <c r="B68" s="54"/>
      <c r="C68" s="55"/>
      <c r="D68" s="55"/>
      <c r="E68" s="55"/>
      <c r="F68" s="55"/>
      <c r="G68" s="56"/>
      <c r="H68" s="57"/>
    </row>
    <row r="69" spans="2:8" x14ac:dyDescent="0.25">
      <c r="B69" s="58" t="s">
        <v>111</v>
      </c>
      <c r="C69" s="59"/>
      <c r="D69" s="59"/>
      <c r="E69" s="59"/>
      <c r="F69" s="60"/>
      <c r="G69" s="56"/>
      <c r="H69" s="57"/>
    </row>
    <row r="70" spans="2:8" x14ac:dyDescent="0.25">
      <c r="B70" s="61" t="s">
        <v>112</v>
      </c>
      <c r="C70" s="62"/>
      <c r="D70" s="62"/>
      <c r="E70" s="62"/>
      <c r="F70" s="63"/>
      <c r="G70" s="56"/>
      <c r="H70" s="57"/>
    </row>
    <row r="71" spans="2:8" x14ac:dyDescent="0.25">
      <c r="B71" s="61" t="s">
        <v>113</v>
      </c>
      <c r="C71" s="62"/>
      <c r="D71" s="62"/>
      <c r="E71" s="62"/>
      <c r="F71" s="63"/>
      <c r="G71" s="56"/>
      <c r="H71" s="57"/>
    </row>
    <row r="72" spans="2:8" x14ac:dyDescent="0.25">
      <c r="B72" s="61" t="s">
        <v>114</v>
      </c>
      <c r="C72" s="62"/>
      <c r="D72" s="62"/>
      <c r="E72" s="62"/>
      <c r="F72" s="63"/>
      <c r="G72" s="56"/>
      <c r="H72" s="57"/>
    </row>
    <row r="73" spans="2:8" x14ac:dyDescent="0.25">
      <c r="B73" s="61" t="s">
        <v>115</v>
      </c>
      <c r="C73" s="62"/>
      <c r="D73" s="62"/>
      <c r="E73" s="62"/>
      <c r="F73" s="63"/>
      <c r="G73" s="56"/>
      <c r="H73" s="57"/>
    </row>
    <row r="74" spans="2:8" x14ac:dyDescent="0.25">
      <c r="B74" s="61" t="s">
        <v>116</v>
      </c>
      <c r="C74" s="62"/>
      <c r="D74" s="62"/>
      <c r="E74" s="62"/>
      <c r="F74" s="63"/>
      <c r="G74" s="56"/>
      <c r="H74" s="57"/>
    </row>
    <row r="75" spans="2:8" ht="15.75" thickBot="1" x14ac:dyDescent="0.3">
      <c r="B75" s="64" t="s">
        <v>117</v>
      </c>
      <c r="C75" s="65"/>
      <c r="D75" s="65"/>
      <c r="E75" s="65"/>
      <c r="F75" s="66"/>
      <c r="G75" s="56"/>
      <c r="H75" s="57"/>
    </row>
    <row r="76" spans="2:8" x14ac:dyDescent="0.25">
      <c r="B76" s="67"/>
      <c r="C76" s="62"/>
      <c r="D76" s="62"/>
      <c r="E76" s="62"/>
      <c r="F76" s="62"/>
      <c r="G76" s="56"/>
      <c r="H76" s="57"/>
    </row>
    <row r="77" spans="2:8" x14ac:dyDescent="0.25">
      <c r="B77" s="121" t="s">
        <v>118</v>
      </c>
      <c r="C77" s="122"/>
      <c r="D77" s="84"/>
      <c r="E77" s="75"/>
      <c r="F77" s="75"/>
      <c r="G77" s="56"/>
      <c r="H77" s="57"/>
    </row>
    <row r="78" spans="2:8" x14ac:dyDescent="0.25">
      <c r="B78" s="97" t="s">
        <v>58</v>
      </c>
      <c r="C78" s="98" t="s">
        <v>119</v>
      </c>
      <c r="D78" s="99" t="s">
        <v>120</v>
      </c>
      <c r="E78" s="75"/>
      <c r="F78" s="75"/>
      <c r="G78" s="56"/>
      <c r="H78" s="57"/>
    </row>
    <row r="79" spans="2:8" x14ac:dyDescent="0.25">
      <c r="B79" s="68" t="s">
        <v>121</v>
      </c>
      <c r="C79" s="69">
        <f>G25</f>
        <v>1444800</v>
      </c>
      <c r="D79" s="70">
        <f>(C79/C85)</f>
        <v>0.2718472803072427</v>
      </c>
      <c r="E79" s="75"/>
      <c r="F79" s="75"/>
      <c r="G79" s="56"/>
      <c r="H79" s="57"/>
    </row>
    <row r="80" spans="2:8" x14ac:dyDescent="0.25">
      <c r="B80" s="68" t="s">
        <v>122</v>
      </c>
      <c r="C80" s="69">
        <f>G31</f>
        <v>80000</v>
      </c>
      <c r="D80" s="70">
        <f>(C80/C85)</f>
        <v>1.5052451844254857E-2</v>
      </c>
      <c r="E80" s="75"/>
      <c r="F80" s="75"/>
      <c r="G80" s="56"/>
      <c r="H80" s="57"/>
    </row>
    <row r="81" spans="2:8" x14ac:dyDescent="0.25">
      <c r="B81" s="68" t="s">
        <v>44</v>
      </c>
      <c r="C81" s="69">
        <f>G43</f>
        <v>886770</v>
      </c>
      <c r="D81" s="70">
        <f>(C81/C85)</f>
        <v>0.16685078402412351</v>
      </c>
      <c r="E81" s="75"/>
      <c r="F81" s="75"/>
      <c r="G81" s="56"/>
      <c r="H81" s="57"/>
    </row>
    <row r="82" spans="2:8" x14ac:dyDescent="0.25">
      <c r="B82" s="68" t="s">
        <v>49</v>
      </c>
      <c r="C82" s="69">
        <f>G51</f>
        <v>450095.5</v>
      </c>
      <c r="D82" s="70">
        <f>+C82/C85</f>
        <v>8.4688010488322654E-2</v>
      </c>
      <c r="E82" s="75"/>
      <c r="F82" s="75"/>
      <c r="G82" s="56"/>
      <c r="H82" s="57"/>
    </row>
    <row r="83" spans="2:8" x14ac:dyDescent="0.25">
      <c r="B83" s="68" t="s">
        <v>123</v>
      </c>
      <c r="C83" s="71">
        <f>G58</f>
        <v>2200000</v>
      </c>
      <c r="D83" s="70">
        <f>(C83/C85)</f>
        <v>0.41394242571700857</v>
      </c>
      <c r="E83" s="76"/>
      <c r="F83" s="76"/>
      <c r="G83" s="56"/>
      <c r="H83" s="57"/>
    </row>
    <row r="84" spans="2:8" x14ac:dyDescent="0.25">
      <c r="B84" s="68" t="s">
        <v>56</v>
      </c>
      <c r="C84" s="71">
        <f>G61</f>
        <v>253083.27500000002</v>
      </c>
      <c r="D84" s="70">
        <f>(C84/C85)</f>
        <v>4.7619047619047623E-2</v>
      </c>
      <c r="E84" s="76"/>
      <c r="F84" s="76"/>
      <c r="G84" s="56"/>
      <c r="H84" s="57"/>
    </row>
    <row r="85" spans="2:8" ht="15.75" thickBot="1" x14ac:dyDescent="0.3">
      <c r="B85" s="100" t="s">
        <v>124</v>
      </c>
      <c r="C85" s="101">
        <f>SUM(C79:C84)</f>
        <v>5314748.7750000004</v>
      </c>
      <c r="D85" s="102">
        <f>SUM(D79:D84)</f>
        <v>1</v>
      </c>
      <c r="E85" s="76"/>
      <c r="F85" s="76"/>
      <c r="G85" s="56"/>
      <c r="H85" s="57"/>
    </row>
    <row r="86" spans="2:8" x14ac:dyDescent="0.25">
      <c r="B86" s="54"/>
      <c r="C86" s="55"/>
      <c r="D86" s="55"/>
      <c r="E86" s="55"/>
      <c r="F86" s="55"/>
      <c r="G86" s="56"/>
      <c r="H86" s="57"/>
    </row>
    <row r="87" spans="2:8" x14ac:dyDescent="0.25">
      <c r="B87" s="72"/>
      <c r="C87" s="55"/>
      <c r="D87" s="55"/>
      <c r="E87" s="55"/>
      <c r="F87" s="55"/>
      <c r="G87" s="56"/>
      <c r="H87" s="57"/>
    </row>
    <row r="88" spans="2:8" x14ac:dyDescent="0.25">
      <c r="B88" s="85" t="s">
        <v>129</v>
      </c>
      <c r="C88" s="86"/>
      <c r="D88" s="87"/>
      <c r="E88" s="87"/>
      <c r="F88" s="88"/>
      <c r="G88" s="56"/>
      <c r="H88" s="57"/>
    </row>
    <row r="89" spans="2:8" x14ac:dyDescent="0.25">
      <c r="B89" s="97" t="s">
        <v>130</v>
      </c>
      <c r="C89" s="103">
        <v>14200</v>
      </c>
      <c r="D89" s="103">
        <v>18000</v>
      </c>
      <c r="E89" s="103">
        <v>25000</v>
      </c>
      <c r="F89" s="104">
        <v>18500</v>
      </c>
      <c r="G89" s="73"/>
      <c r="H89" s="57"/>
    </row>
    <row r="90" spans="2:8" x14ac:dyDescent="0.25">
      <c r="B90" s="97" t="s">
        <v>131</v>
      </c>
      <c r="C90" s="105"/>
      <c r="D90" s="105"/>
      <c r="E90" s="105"/>
      <c r="F90" s="106">
        <v>2</v>
      </c>
      <c r="G90" s="73"/>
      <c r="H90" s="57"/>
    </row>
    <row r="91" spans="2:8" ht="15.75" thickBot="1" x14ac:dyDescent="0.3">
      <c r="B91" s="100" t="s">
        <v>132</v>
      </c>
      <c r="C91" s="101"/>
      <c r="D91" s="101">
        <f>(F64/D89)</f>
        <v>0</v>
      </c>
      <c r="E91" s="101"/>
      <c r="F91" s="107">
        <f>+G62/G8</f>
        <v>42517.9902</v>
      </c>
      <c r="G91" s="73"/>
      <c r="H91" s="57"/>
    </row>
    <row r="92" spans="2:8" x14ac:dyDescent="0.25">
      <c r="B92" s="74" t="s">
        <v>125</v>
      </c>
      <c r="C92" s="62"/>
      <c r="D92" s="62"/>
      <c r="E92" s="62"/>
      <c r="F92" s="62"/>
      <c r="G92" s="62"/>
      <c r="H92" s="57"/>
    </row>
  </sheetData>
  <mergeCells count="9">
    <mergeCell ref="B77:C77"/>
    <mergeCell ref="E14:F14"/>
    <mergeCell ref="B16:G16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6"/>
  <sheetViews>
    <sheetView topLeftCell="A51" zoomScale="120" zoomScaleNormal="120" workbookViewId="0">
      <selection activeCell="F35" sqref="F35"/>
    </sheetView>
  </sheetViews>
  <sheetFormatPr baseColWidth="10" defaultRowHeight="15" x14ac:dyDescent="0.25"/>
  <cols>
    <col min="1" max="1" width="4" customWidth="1"/>
    <col min="2" max="2" width="29.140625" customWidth="1"/>
    <col min="3" max="3" width="12.7109375" customWidth="1"/>
    <col min="10" max="10" width="17.5703125" bestFit="1" customWidth="1"/>
  </cols>
  <sheetData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ht="19.5" customHeight="1" x14ac:dyDescent="0.25">
      <c r="A10" s="12"/>
      <c r="B10" s="96" t="s">
        <v>0</v>
      </c>
      <c r="C10" s="13" t="s">
        <v>1</v>
      </c>
      <c r="D10" s="1"/>
      <c r="E10" s="125" t="s">
        <v>85</v>
      </c>
      <c r="F10" s="126"/>
      <c r="G10" s="18">
        <v>1250</v>
      </c>
      <c r="H10" s="12"/>
    </row>
    <row r="11" spans="1:8" ht="21.75" customHeight="1" x14ac:dyDescent="0.25">
      <c r="A11" s="12"/>
      <c r="B11" s="118" t="s">
        <v>2</v>
      </c>
      <c r="C11" s="15" t="s">
        <v>3</v>
      </c>
      <c r="D11" s="1"/>
      <c r="E11" s="127" t="s">
        <v>4</v>
      </c>
      <c r="F11" s="127"/>
      <c r="G11" s="16" t="s">
        <v>5</v>
      </c>
      <c r="H11" s="12"/>
    </row>
    <row r="12" spans="1:8" x14ac:dyDescent="0.25">
      <c r="A12" s="12"/>
      <c r="B12" s="118" t="s">
        <v>6</v>
      </c>
      <c r="C12" s="13" t="s">
        <v>7</v>
      </c>
      <c r="D12" s="1"/>
      <c r="E12" s="127" t="s">
        <v>8</v>
      </c>
      <c r="F12" s="127"/>
      <c r="G12" s="19">
        <v>4500</v>
      </c>
      <c r="H12" s="12"/>
    </row>
    <row r="13" spans="1:8" x14ac:dyDescent="0.25">
      <c r="A13" s="12"/>
      <c r="B13" s="118" t="s">
        <v>9</v>
      </c>
      <c r="C13" s="13" t="s">
        <v>10</v>
      </c>
      <c r="D13" s="2"/>
      <c r="E13" s="127" t="s">
        <v>11</v>
      </c>
      <c r="F13" s="127"/>
      <c r="G13" s="19">
        <f>+G12*G10</f>
        <v>5625000</v>
      </c>
      <c r="H13" s="12"/>
    </row>
    <row r="14" spans="1:8" ht="18" x14ac:dyDescent="0.25">
      <c r="A14" s="12"/>
      <c r="B14" s="118" t="s">
        <v>12</v>
      </c>
      <c r="C14" s="13" t="s">
        <v>13</v>
      </c>
      <c r="D14" s="2"/>
      <c r="E14" s="127" t="s">
        <v>14</v>
      </c>
      <c r="F14" s="127"/>
      <c r="G14" s="20" t="s">
        <v>15</v>
      </c>
      <c r="H14" s="12"/>
    </row>
    <row r="15" spans="1:8" x14ac:dyDescent="0.25">
      <c r="A15" s="12"/>
      <c r="B15" s="118" t="s">
        <v>16</v>
      </c>
      <c r="C15" s="16" t="s">
        <v>13</v>
      </c>
      <c r="D15" s="2"/>
      <c r="E15" s="127" t="s">
        <v>17</v>
      </c>
      <c r="F15" s="127"/>
      <c r="G15" s="15" t="s">
        <v>68</v>
      </c>
      <c r="H15" s="12"/>
    </row>
    <row r="16" spans="1:8" x14ac:dyDescent="0.25">
      <c r="A16" s="12"/>
      <c r="B16" s="118" t="s">
        <v>19</v>
      </c>
      <c r="C16" s="17">
        <v>44593</v>
      </c>
      <c r="D16" s="2"/>
      <c r="E16" s="123" t="s">
        <v>20</v>
      </c>
      <c r="F16" s="123"/>
      <c r="G16" s="15" t="s">
        <v>21</v>
      </c>
      <c r="H16" s="12"/>
    </row>
    <row r="17" spans="1:8" x14ac:dyDescent="0.25">
      <c r="A17" s="12"/>
      <c r="B17" s="3"/>
      <c r="C17" s="4"/>
      <c r="D17" s="1"/>
      <c r="E17" s="2"/>
      <c r="F17" s="2"/>
      <c r="G17" s="5"/>
      <c r="H17" s="12"/>
    </row>
    <row r="18" spans="1:8" x14ac:dyDescent="0.25">
      <c r="A18" s="12"/>
      <c r="B18" s="124" t="s">
        <v>138</v>
      </c>
      <c r="C18" s="124"/>
      <c r="D18" s="124"/>
      <c r="E18" s="124"/>
      <c r="F18" s="124"/>
      <c r="G18" s="124"/>
      <c r="H18" s="12"/>
    </row>
    <row r="19" spans="1:8" x14ac:dyDescent="0.25">
      <c r="A19" s="12"/>
      <c r="B19" s="1"/>
      <c r="C19" s="6"/>
      <c r="D19" s="6"/>
      <c r="E19" s="7"/>
      <c r="F19" s="8"/>
      <c r="G19" s="1"/>
      <c r="H19" s="12"/>
    </row>
    <row r="20" spans="1:8" x14ac:dyDescent="0.25">
      <c r="A20" s="12"/>
      <c r="B20" s="48" t="s">
        <v>22</v>
      </c>
      <c r="C20" s="2"/>
      <c r="D20" s="2"/>
      <c r="E20" s="2"/>
      <c r="F20" s="2"/>
      <c r="G20" s="2"/>
      <c r="H20" s="12"/>
    </row>
    <row r="21" spans="1:8" ht="18" x14ac:dyDescent="0.25">
      <c r="A21" s="12"/>
      <c r="B21" s="39" t="s">
        <v>23</v>
      </c>
      <c r="C21" s="40" t="s">
        <v>24</v>
      </c>
      <c r="D21" s="40" t="s">
        <v>25</v>
      </c>
      <c r="E21" s="40" t="s">
        <v>26</v>
      </c>
      <c r="F21" s="40" t="s">
        <v>27</v>
      </c>
      <c r="G21" s="40" t="s">
        <v>28</v>
      </c>
      <c r="H21" s="12"/>
    </row>
    <row r="22" spans="1:8" x14ac:dyDescent="0.25">
      <c r="A22" s="12"/>
      <c r="B22" s="21" t="s">
        <v>29</v>
      </c>
      <c r="C22" s="22" t="s">
        <v>30</v>
      </c>
      <c r="D22" s="22">
        <v>5</v>
      </c>
      <c r="E22" s="23" t="s">
        <v>31</v>
      </c>
      <c r="F22" s="24">
        <v>28000</v>
      </c>
      <c r="G22" s="24">
        <f>F22*D22</f>
        <v>140000</v>
      </c>
      <c r="H22" s="12"/>
    </row>
    <row r="23" spans="1:8" x14ac:dyDescent="0.25">
      <c r="A23" s="12"/>
      <c r="B23" s="21" t="s">
        <v>32</v>
      </c>
      <c r="C23" s="22" t="s">
        <v>30</v>
      </c>
      <c r="D23" s="22">
        <v>6</v>
      </c>
      <c r="E23" s="23" t="s">
        <v>33</v>
      </c>
      <c r="F23" s="24">
        <v>28000</v>
      </c>
      <c r="G23" s="24">
        <f>F23*D23</f>
        <v>168000</v>
      </c>
      <c r="H23" s="12"/>
    </row>
    <row r="24" spans="1:8" x14ac:dyDescent="0.25">
      <c r="A24" s="12"/>
      <c r="B24" s="21" t="s">
        <v>75</v>
      </c>
      <c r="C24" s="22" t="s">
        <v>30</v>
      </c>
      <c r="D24" s="22">
        <v>40</v>
      </c>
      <c r="E24" s="23" t="s">
        <v>34</v>
      </c>
      <c r="F24" s="24">
        <v>28000</v>
      </c>
      <c r="G24" s="24">
        <f t="shared" ref="G24:G27" si="0">F24*D24</f>
        <v>1120000</v>
      </c>
      <c r="H24" s="12"/>
    </row>
    <row r="25" spans="1:8" x14ac:dyDescent="0.25">
      <c r="A25" s="12"/>
      <c r="B25" s="21" t="s">
        <v>35</v>
      </c>
      <c r="C25" s="22" t="s">
        <v>30</v>
      </c>
      <c r="D25" s="22">
        <v>4</v>
      </c>
      <c r="E25" s="23" t="s">
        <v>36</v>
      </c>
      <c r="F25" s="24">
        <v>28000</v>
      </c>
      <c r="G25" s="24">
        <f t="shared" si="0"/>
        <v>112000</v>
      </c>
      <c r="H25" s="12"/>
    </row>
    <row r="26" spans="1:8" x14ac:dyDescent="0.25">
      <c r="A26" s="12"/>
      <c r="B26" s="21" t="s">
        <v>37</v>
      </c>
      <c r="C26" s="22" t="s">
        <v>30</v>
      </c>
      <c r="D26" s="22">
        <v>4</v>
      </c>
      <c r="E26" s="23" t="s">
        <v>38</v>
      </c>
      <c r="F26" s="24">
        <v>28000</v>
      </c>
      <c r="G26" s="24">
        <f t="shared" si="0"/>
        <v>112000</v>
      </c>
      <c r="H26" s="12"/>
    </row>
    <row r="27" spans="1:8" x14ac:dyDescent="0.25">
      <c r="A27" s="12"/>
      <c r="B27" s="21" t="s">
        <v>39</v>
      </c>
      <c r="C27" s="22" t="s">
        <v>30</v>
      </c>
      <c r="D27" s="22">
        <v>3</v>
      </c>
      <c r="E27" s="23" t="s">
        <v>36</v>
      </c>
      <c r="F27" s="24">
        <v>28000</v>
      </c>
      <c r="G27" s="24">
        <f t="shared" si="0"/>
        <v>84000</v>
      </c>
      <c r="H27" s="12"/>
    </row>
    <row r="28" spans="1:8" x14ac:dyDescent="0.25">
      <c r="A28" s="12"/>
      <c r="B28" s="30" t="s">
        <v>52</v>
      </c>
      <c r="C28" s="23" t="s">
        <v>53</v>
      </c>
      <c r="D28" s="28">
        <v>6</v>
      </c>
      <c r="E28" s="23" t="s">
        <v>18</v>
      </c>
      <c r="F28" s="24">
        <v>28000</v>
      </c>
      <c r="G28" s="29">
        <f>+D28*F28</f>
        <v>168000</v>
      </c>
      <c r="H28" s="12"/>
    </row>
    <row r="29" spans="1:8" x14ac:dyDescent="0.25">
      <c r="A29" s="12"/>
      <c r="B29" s="30" t="s">
        <v>55</v>
      </c>
      <c r="C29" s="23" t="s">
        <v>53</v>
      </c>
      <c r="D29" s="28">
        <v>5</v>
      </c>
      <c r="E29" s="23" t="s">
        <v>18</v>
      </c>
      <c r="F29" s="24">
        <v>28000</v>
      </c>
      <c r="G29" s="29">
        <f>+D29*F29</f>
        <v>140000</v>
      </c>
      <c r="H29" s="12"/>
    </row>
    <row r="30" spans="1:8" x14ac:dyDescent="0.25">
      <c r="A30" s="12"/>
      <c r="B30" s="41" t="s">
        <v>40</v>
      </c>
      <c r="C30" s="42"/>
      <c r="D30" s="43"/>
      <c r="E30" s="42"/>
      <c r="F30" s="44"/>
      <c r="G30" s="44">
        <f>SUM(G22:G29)</f>
        <v>2044000</v>
      </c>
      <c r="H30" s="12"/>
    </row>
    <row r="31" spans="1:8" x14ac:dyDescent="0.25">
      <c r="A31" s="12"/>
      <c r="B31" s="2"/>
      <c r="C31" s="9"/>
      <c r="D31" s="9"/>
      <c r="E31" s="9"/>
      <c r="F31" s="2"/>
      <c r="G31" s="2"/>
      <c r="H31" s="12"/>
    </row>
    <row r="32" spans="1:8" x14ac:dyDescent="0.25">
      <c r="A32" s="12"/>
      <c r="B32" s="48" t="s">
        <v>69</v>
      </c>
      <c r="C32" s="9"/>
      <c r="D32" s="9"/>
      <c r="E32" s="9"/>
      <c r="F32" s="2"/>
      <c r="G32" s="2"/>
      <c r="H32" s="12"/>
    </row>
    <row r="33" spans="1:9" ht="18" x14ac:dyDescent="0.25">
      <c r="A33" s="12"/>
      <c r="B33" s="43" t="s">
        <v>23</v>
      </c>
      <c r="C33" s="43" t="s">
        <v>24</v>
      </c>
      <c r="D33" s="43" t="s">
        <v>25</v>
      </c>
      <c r="E33" s="43" t="s">
        <v>26</v>
      </c>
      <c r="F33" s="40" t="s">
        <v>27</v>
      </c>
      <c r="G33" s="43" t="s">
        <v>28</v>
      </c>
      <c r="H33" s="12"/>
    </row>
    <row r="34" spans="1:9" x14ac:dyDescent="0.25">
      <c r="A34" s="12"/>
      <c r="B34" s="21" t="s">
        <v>70</v>
      </c>
      <c r="C34" s="22" t="s">
        <v>71</v>
      </c>
      <c r="D34" s="22">
        <v>1</v>
      </c>
      <c r="E34" s="23" t="s">
        <v>72</v>
      </c>
      <c r="F34" s="24">
        <v>430000</v>
      </c>
      <c r="G34" s="24">
        <f>+F34*D34</f>
        <v>430000</v>
      </c>
      <c r="H34" s="12"/>
    </row>
    <row r="35" spans="1:9" x14ac:dyDescent="0.25">
      <c r="A35" s="12"/>
      <c r="B35" s="21"/>
      <c r="C35" s="22"/>
      <c r="D35" s="22"/>
      <c r="E35" s="23"/>
      <c r="F35" s="24"/>
      <c r="G35" s="24"/>
      <c r="H35" s="12"/>
    </row>
    <row r="36" spans="1:9" x14ac:dyDescent="0.25">
      <c r="A36" s="12"/>
      <c r="B36" s="41" t="s">
        <v>42</v>
      </c>
      <c r="C36" s="42"/>
      <c r="D36" s="43"/>
      <c r="E36" s="42"/>
      <c r="F36" s="44"/>
      <c r="G36" s="44">
        <f>SUM(G34:G35)</f>
        <v>430000</v>
      </c>
      <c r="H36" s="12"/>
    </row>
    <row r="37" spans="1:9" x14ac:dyDescent="0.25">
      <c r="A37" s="12"/>
      <c r="B37" s="2"/>
      <c r="C37" s="9"/>
      <c r="D37" s="9"/>
      <c r="E37" s="9"/>
      <c r="F37" s="2"/>
      <c r="G37" s="2"/>
      <c r="H37" s="12"/>
    </row>
    <row r="38" spans="1:9" x14ac:dyDescent="0.25">
      <c r="A38" s="12"/>
      <c r="B38" s="48" t="s">
        <v>43</v>
      </c>
      <c r="C38" s="9"/>
      <c r="D38" s="9"/>
      <c r="E38" s="9"/>
      <c r="F38" s="2"/>
      <c r="G38" s="2"/>
      <c r="H38" s="12"/>
    </row>
    <row r="39" spans="1:9" ht="18" x14ac:dyDescent="0.25">
      <c r="A39" s="12"/>
      <c r="B39" s="40" t="s">
        <v>44</v>
      </c>
      <c r="C39" s="40" t="s">
        <v>45</v>
      </c>
      <c r="D39" s="40" t="s">
        <v>46</v>
      </c>
      <c r="E39" s="40" t="s">
        <v>26</v>
      </c>
      <c r="F39" s="40" t="s">
        <v>27</v>
      </c>
      <c r="G39" s="40" t="s">
        <v>28</v>
      </c>
      <c r="H39" s="12"/>
    </row>
    <row r="40" spans="1:9" x14ac:dyDescent="0.25">
      <c r="A40" s="12"/>
      <c r="B40" s="21" t="s">
        <v>78</v>
      </c>
      <c r="C40" s="22" t="s">
        <v>54</v>
      </c>
      <c r="D40" s="25">
        <v>400</v>
      </c>
      <c r="E40" s="23" t="s">
        <v>72</v>
      </c>
      <c r="F40" s="26">
        <f>Miel!F40*'Miel al 22.06.22'!$I$40</f>
        <v>653.125</v>
      </c>
      <c r="G40" s="24">
        <f>+F40*D40</f>
        <v>261250</v>
      </c>
      <c r="H40" s="12"/>
      <c r="I40" s="119">
        <v>1.0449999999999999</v>
      </c>
    </row>
    <row r="41" spans="1:9" x14ac:dyDescent="0.25">
      <c r="A41" s="12"/>
      <c r="B41" s="21" t="s">
        <v>79</v>
      </c>
      <c r="C41" s="22" t="s">
        <v>54</v>
      </c>
      <c r="D41" s="25">
        <v>40</v>
      </c>
      <c r="E41" s="23" t="s">
        <v>72</v>
      </c>
      <c r="F41" s="26">
        <f>Miel!F41*'Miel al 22.06.22'!$I$40</f>
        <v>4794.46</v>
      </c>
      <c r="G41" s="24">
        <f t="shared" ref="G41:G45" si="1">+F41*D41</f>
        <v>191778.4</v>
      </c>
      <c r="H41" s="12"/>
    </row>
    <row r="42" spans="1:9" x14ac:dyDescent="0.25">
      <c r="A42" s="12"/>
      <c r="B42" s="21" t="s">
        <v>80</v>
      </c>
      <c r="C42" s="22" t="s">
        <v>54</v>
      </c>
      <c r="D42" s="25">
        <v>1</v>
      </c>
      <c r="E42" s="23" t="s">
        <v>72</v>
      </c>
      <c r="F42" s="26">
        <f>Miel!F42*'Miel al 22.06.22'!$I$40</f>
        <v>19593.75</v>
      </c>
      <c r="G42" s="24">
        <f t="shared" si="1"/>
        <v>19593.75</v>
      </c>
      <c r="H42" s="12"/>
    </row>
    <row r="43" spans="1:9" x14ac:dyDescent="0.25">
      <c r="A43" s="12"/>
      <c r="B43" s="21" t="s">
        <v>81</v>
      </c>
      <c r="C43" s="22" t="s">
        <v>54</v>
      </c>
      <c r="D43" s="25">
        <v>40</v>
      </c>
      <c r="E43" s="23" t="s">
        <v>72</v>
      </c>
      <c r="F43" s="26">
        <f>Miel!F43*'Miel al 22.06.22'!$I$40</f>
        <v>1959.3749999999998</v>
      </c>
      <c r="G43" s="24">
        <f t="shared" si="1"/>
        <v>78374.999999999985</v>
      </c>
      <c r="H43" s="12"/>
    </row>
    <row r="44" spans="1:9" x14ac:dyDescent="0.25">
      <c r="A44" s="12"/>
      <c r="B44" s="21" t="s">
        <v>82</v>
      </c>
      <c r="C44" s="22" t="s">
        <v>54</v>
      </c>
      <c r="D44" s="25">
        <v>10</v>
      </c>
      <c r="E44" s="23" t="s">
        <v>72</v>
      </c>
      <c r="F44" s="26">
        <f>Miel!F44*'Miel al 22.06.22'!$I$40</f>
        <v>19593.75</v>
      </c>
      <c r="G44" s="24">
        <f t="shared" si="1"/>
        <v>195937.5</v>
      </c>
      <c r="H44" s="12"/>
    </row>
    <row r="45" spans="1:9" x14ac:dyDescent="0.25">
      <c r="A45" s="12"/>
      <c r="B45" s="21" t="s">
        <v>83</v>
      </c>
      <c r="C45" s="22" t="s">
        <v>54</v>
      </c>
      <c r="D45" s="25">
        <v>10</v>
      </c>
      <c r="E45" s="23" t="s">
        <v>72</v>
      </c>
      <c r="F45" s="26">
        <f>Miel!F45*'Miel al 22.06.22'!$I$40</f>
        <v>3265.625</v>
      </c>
      <c r="G45" s="24">
        <f t="shared" si="1"/>
        <v>32656.25</v>
      </c>
      <c r="H45" s="12"/>
    </row>
    <row r="46" spans="1:9" x14ac:dyDescent="0.25">
      <c r="A46" s="12"/>
      <c r="B46" s="30" t="s">
        <v>76</v>
      </c>
      <c r="C46" s="23" t="s">
        <v>77</v>
      </c>
      <c r="D46" s="28">
        <v>1250</v>
      </c>
      <c r="E46" s="23" t="s">
        <v>18</v>
      </c>
      <c r="F46" s="26">
        <f>Miel!F46*'Miel al 22.06.22'!$I$40</f>
        <v>327.08499999999998</v>
      </c>
      <c r="G46" s="29">
        <f>+D46*F46</f>
        <v>408856.25</v>
      </c>
      <c r="H46" s="12"/>
    </row>
    <row r="47" spans="1:9" x14ac:dyDescent="0.25">
      <c r="A47" s="12"/>
      <c r="B47" s="21"/>
      <c r="C47" s="22"/>
      <c r="D47" s="25"/>
      <c r="E47" s="23"/>
      <c r="F47" s="26"/>
      <c r="G47" s="24"/>
      <c r="H47" s="12"/>
    </row>
    <row r="48" spans="1:9" x14ac:dyDescent="0.25">
      <c r="A48" s="12"/>
      <c r="B48" s="40" t="s">
        <v>48</v>
      </c>
      <c r="C48" s="40"/>
      <c r="D48" s="40"/>
      <c r="E48" s="40"/>
      <c r="F48" s="40"/>
      <c r="G48" s="45">
        <f>SUM(G40:G47)</f>
        <v>1188447.1499999999</v>
      </c>
      <c r="H48" s="12"/>
    </row>
    <row r="49" spans="1:8" x14ac:dyDescent="0.25">
      <c r="A49" s="12"/>
      <c r="B49" s="27" t="s">
        <v>49</v>
      </c>
      <c r="C49" s="23"/>
      <c r="D49" s="28"/>
      <c r="E49" s="23"/>
      <c r="F49" s="26"/>
      <c r="G49" s="29"/>
      <c r="H49" s="12"/>
    </row>
    <row r="50" spans="1:8" x14ac:dyDescent="0.25">
      <c r="A50" s="12"/>
      <c r="B50" s="30" t="s">
        <v>84</v>
      </c>
      <c r="C50" s="23" t="s">
        <v>86</v>
      </c>
      <c r="D50" s="31">
        <v>3.5</v>
      </c>
      <c r="E50" s="23" t="s">
        <v>38</v>
      </c>
      <c r="F50" s="26">
        <f>Miel!F50*'Miel al 22.06.22'!$I$40</f>
        <v>11038.334999999999</v>
      </c>
      <c r="G50" s="29">
        <f t="shared" ref="G50:G53" si="2">+F50*D50</f>
        <v>38634.172500000001</v>
      </c>
      <c r="H50" s="12"/>
    </row>
    <row r="51" spans="1:8" x14ac:dyDescent="0.25">
      <c r="A51" s="12"/>
      <c r="B51" s="30" t="s">
        <v>136</v>
      </c>
      <c r="C51" s="23" t="s">
        <v>86</v>
      </c>
      <c r="D51" s="28">
        <v>0.5</v>
      </c>
      <c r="E51" s="23"/>
      <c r="F51" s="26">
        <f>Miel!F51*'Miel al 22.06.22'!$I$40</f>
        <v>143687.5</v>
      </c>
      <c r="G51" s="29">
        <f t="shared" si="2"/>
        <v>71843.75</v>
      </c>
      <c r="H51" s="12"/>
    </row>
    <row r="52" spans="1:8" x14ac:dyDescent="0.25">
      <c r="A52" s="12"/>
      <c r="B52" s="30" t="s">
        <v>105</v>
      </c>
      <c r="C52" s="23" t="s">
        <v>86</v>
      </c>
      <c r="D52" s="31">
        <v>26</v>
      </c>
      <c r="E52" s="23" t="s">
        <v>50</v>
      </c>
      <c r="F52" s="26">
        <f>Miel!F52*'Miel al 22.06.22'!$I$40</f>
        <v>653.125</v>
      </c>
      <c r="G52" s="29">
        <f t="shared" si="2"/>
        <v>16981.25</v>
      </c>
      <c r="H52" s="12"/>
    </row>
    <row r="53" spans="1:8" x14ac:dyDescent="0.25">
      <c r="A53" s="12"/>
      <c r="B53" s="30" t="s">
        <v>106</v>
      </c>
      <c r="C53" s="23" t="s">
        <v>47</v>
      </c>
      <c r="D53" s="31">
        <v>125</v>
      </c>
      <c r="E53" s="23" t="s">
        <v>51</v>
      </c>
      <c r="F53" s="26">
        <f>Miel!F53*'Miel al 22.06.22'!$I$40</f>
        <v>1959.3749999999998</v>
      </c>
      <c r="G53" s="29">
        <f t="shared" si="2"/>
        <v>244921.87499999997</v>
      </c>
      <c r="H53" s="12"/>
    </row>
    <row r="54" spans="1:8" x14ac:dyDescent="0.25">
      <c r="A54" s="12"/>
      <c r="B54" s="40" t="s">
        <v>48</v>
      </c>
      <c r="C54" s="40"/>
      <c r="D54" s="40"/>
      <c r="E54" s="40"/>
      <c r="F54" s="40"/>
      <c r="G54" s="45">
        <f>SUM(G50:G53)</f>
        <v>372381.04749999999</v>
      </c>
      <c r="H54" s="12"/>
    </row>
    <row r="55" spans="1:8" x14ac:dyDescent="0.25">
      <c r="A55" s="12"/>
      <c r="B55" s="21" t="s">
        <v>73</v>
      </c>
      <c r="C55" s="22" t="s">
        <v>71</v>
      </c>
      <c r="D55" s="22">
        <v>1</v>
      </c>
      <c r="E55" s="23" t="s">
        <v>72</v>
      </c>
      <c r="F55" s="24">
        <v>60000</v>
      </c>
      <c r="G55" s="24">
        <f>+F55*D55</f>
        <v>60000</v>
      </c>
      <c r="H55" s="12"/>
    </row>
    <row r="56" spans="1:8" x14ac:dyDescent="0.25">
      <c r="A56" s="12"/>
      <c r="B56" s="40" t="s">
        <v>48</v>
      </c>
      <c r="C56" s="40"/>
      <c r="D56" s="40"/>
      <c r="E56" s="40"/>
      <c r="F56" s="40"/>
      <c r="G56" s="45">
        <f>SUM(G55)</f>
        <v>60000</v>
      </c>
      <c r="H56" s="12"/>
    </row>
    <row r="57" spans="1:8" x14ac:dyDescent="0.25">
      <c r="A57" s="12"/>
      <c r="B57" s="95" t="s">
        <v>135</v>
      </c>
      <c r="C57" s="40"/>
      <c r="D57" s="40"/>
      <c r="E57" s="40"/>
      <c r="F57" s="40"/>
      <c r="G57" s="45">
        <f>+G56+G54+G48</f>
        <v>1620828.1974999998</v>
      </c>
      <c r="H57" s="12"/>
    </row>
    <row r="58" spans="1:8" x14ac:dyDescent="0.25">
      <c r="A58" s="12"/>
      <c r="B58" s="8"/>
      <c r="C58" s="9"/>
      <c r="D58" s="9"/>
      <c r="E58" s="9"/>
      <c r="F58" s="2"/>
      <c r="G58" s="8"/>
      <c r="H58" s="12"/>
    </row>
    <row r="59" spans="1:8" x14ac:dyDescent="0.25">
      <c r="A59" s="12"/>
      <c r="B59" s="48" t="s">
        <v>57</v>
      </c>
      <c r="C59" s="10"/>
      <c r="D59" s="10"/>
      <c r="E59" s="10"/>
      <c r="F59" s="11"/>
      <c r="G59" s="11"/>
      <c r="H59" s="12"/>
    </row>
    <row r="60" spans="1:8" ht="18" x14ac:dyDescent="0.25">
      <c r="A60" s="12"/>
      <c r="B60" s="43" t="s">
        <v>58</v>
      </c>
      <c r="C60" s="40" t="s">
        <v>45</v>
      </c>
      <c r="D60" s="40" t="s">
        <v>46</v>
      </c>
      <c r="E60" s="43" t="s">
        <v>59</v>
      </c>
      <c r="F60" s="40" t="s">
        <v>27</v>
      </c>
      <c r="G60" s="43" t="s">
        <v>28</v>
      </c>
      <c r="H60" s="12"/>
    </row>
    <row r="61" spans="1:8" x14ac:dyDescent="0.25">
      <c r="A61" s="12"/>
      <c r="B61" s="49" t="s">
        <v>87</v>
      </c>
      <c r="C61" s="34" t="s">
        <v>88</v>
      </c>
      <c r="D61" s="34">
        <v>1</v>
      </c>
      <c r="E61" s="33" t="s">
        <v>89</v>
      </c>
      <c r="F61" s="50">
        <v>450000</v>
      </c>
      <c r="G61" s="51">
        <f>+F61*D61</f>
        <v>450000</v>
      </c>
      <c r="H61" s="12"/>
    </row>
    <row r="62" spans="1:8" x14ac:dyDescent="0.25">
      <c r="A62" s="12"/>
      <c r="B62" s="49" t="s">
        <v>90</v>
      </c>
      <c r="C62" s="34" t="s">
        <v>88</v>
      </c>
      <c r="D62" s="34">
        <v>6</v>
      </c>
      <c r="E62" s="33" t="s">
        <v>89</v>
      </c>
      <c r="F62" s="50">
        <v>120000</v>
      </c>
      <c r="G62" s="51">
        <f>+F62*D62</f>
        <v>720000</v>
      </c>
      <c r="H62" s="12"/>
    </row>
    <row r="63" spans="1:8" x14ac:dyDescent="0.25">
      <c r="A63" s="12"/>
      <c r="B63" s="94" t="s">
        <v>134</v>
      </c>
      <c r="C63" s="23" t="s">
        <v>24</v>
      </c>
      <c r="D63" s="28">
        <v>2</v>
      </c>
      <c r="E63" s="23"/>
      <c r="F63" s="29">
        <v>50000</v>
      </c>
      <c r="G63" s="29">
        <f t="shared" ref="G63" si="3">+D63*F63</f>
        <v>100000</v>
      </c>
      <c r="H63" s="12"/>
    </row>
    <row r="64" spans="1:8" x14ac:dyDescent="0.25">
      <c r="A64" s="12"/>
      <c r="B64" s="90"/>
      <c r="C64" s="91"/>
      <c r="D64" s="91"/>
      <c r="E64" s="92"/>
      <c r="F64" s="93"/>
      <c r="G64" s="93"/>
      <c r="H64" s="12"/>
    </row>
    <row r="65" spans="1:11" x14ac:dyDescent="0.25">
      <c r="A65" s="12"/>
      <c r="B65" s="46" t="s">
        <v>60</v>
      </c>
      <c r="C65" s="42"/>
      <c r="D65" s="42"/>
      <c r="E65" s="42"/>
      <c r="F65" s="46"/>
      <c r="G65" s="47">
        <f>SUM(G61:G63)</f>
        <v>1270000</v>
      </c>
      <c r="H65" s="12"/>
    </row>
    <row r="66" spans="1:11" x14ac:dyDescent="0.25">
      <c r="A66" s="12"/>
      <c r="B66" s="8"/>
      <c r="C66" s="2"/>
      <c r="D66" s="2"/>
      <c r="E66" s="2"/>
      <c r="F66" s="2"/>
      <c r="G66" s="8"/>
      <c r="H66" s="12"/>
    </row>
    <row r="67" spans="1:11" x14ac:dyDescent="0.25">
      <c r="A67" s="12"/>
      <c r="B67" s="108" t="s">
        <v>61</v>
      </c>
      <c r="C67" s="109"/>
      <c r="D67" s="109"/>
      <c r="E67" s="109"/>
      <c r="F67" s="109"/>
      <c r="G67" s="110">
        <f>+G65+G57+G36+G30</f>
        <v>5364828.1974999998</v>
      </c>
      <c r="H67" s="12"/>
      <c r="I67" s="52"/>
      <c r="J67" s="52"/>
      <c r="K67" s="52"/>
    </row>
    <row r="68" spans="1:11" x14ac:dyDescent="0.25">
      <c r="A68" s="12"/>
      <c r="B68" s="111" t="s">
        <v>62</v>
      </c>
      <c r="C68" s="112"/>
      <c r="D68" s="112"/>
      <c r="E68" s="112"/>
      <c r="F68" s="112"/>
      <c r="G68" s="113">
        <f>0.05*G67</f>
        <v>268241.40987500001</v>
      </c>
      <c r="H68" s="12"/>
      <c r="I68" s="52"/>
      <c r="J68" s="52"/>
      <c r="K68" s="52"/>
    </row>
    <row r="69" spans="1:11" x14ac:dyDescent="0.25">
      <c r="A69" s="12"/>
      <c r="B69" s="108" t="s">
        <v>63</v>
      </c>
      <c r="C69" s="109"/>
      <c r="D69" s="109"/>
      <c r="E69" s="109"/>
      <c r="F69" s="109"/>
      <c r="G69" s="110">
        <f>SUM(G67:G68)</f>
        <v>5633069.6073749997</v>
      </c>
      <c r="H69" s="12"/>
      <c r="I69" s="53"/>
      <c r="J69" s="52"/>
      <c r="K69" s="52"/>
    </row>
    <row r="70" spans="1:11" x14ac:dyDescent="0.25">
      <c r="A70" s="12"/>
      <c r="B70" s="111" t="s">
        <v>64</v>
      </c>
      <c r="C70" s="112"/>
      <c r="D70" s="112"/>
      <c r="E70" s="112"/>
      <c r="F70" s="112"/>
      <c r="G70" s="113">
        <f>+G13</f>
        <v>5625000</v>
      </c>
      <c r="H70" s="12"/>
      <c r="I70" s="52"/>
      <c r="J70" s="52"/>
      <c r="K70" s="52"/>
    </row>
    <row r="71" spans="1:11" x14ac:dyDescent="0.25">
      <c r="A71" s="12"/>
      <c r="B71" s="108" t="s">
        <v>65</v>
      </c>
      <c r="C71" s="109"/>
      <c r="D71" s="109"/>
      <c r="E71" s="109"/>
      <c r="F71" s="109"/>
      <c r="G71" s="110">
        <f>+G70-G69</f>
        <v>-8069.6073749996722</v>
      </c>
      <c r="H71" s="12"/>
      <c r="I71" s="53"/>
      <c r="J71" s="52"/>
      <c r="K71" s="52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52"/>
      <c r="J72" s="52"/>
      <c r="K72" s="52"/>
    </row>
    <row r="73" spans="1:11" x14ac:dyDescent="0.25">
      <c r="A73" s="12"/>
      <c r="B73" s="12" t="s">
        <v>91</v>
      </c>
      <c r="C73" s="12"/>
      <c r="D73" s="12"/>
      <c r="E73" s="12"/>
      <c r="F73" s="12"/>
      <c r="G73" s="12"/>
      <c r="H73" s="12"/>
      <c r="I73" s="52"/>
      <c r="J73" s="52"/>
      <c r="K73" s="52"/>
    </row>
    <row r="74" spans="1:11" ht="15.75" thickBot="1" x14ac:dyDescent="0.3">
      <c r="A74" s="12"/>
      <c r="B74" s="12"/>
      <c r="C74" s="12"/>
      <c r="D74" s="12"/>
      <c r="E74" s="12"/>
      <c r="F74" s="12"/>
      <c r="G74" s="12"/>
      <c r="H74" s="12"/>
    </row>
    <row r="75" spans="1:11" x14ac:dyDescent="0.25">
      <c r="A75" s="12"/>
      <c r="B75" s="58" t="s">
        <v>111</v>
      </c>
      <c r="C75" s="59"/>
      <c r="D75" s="59"/>
      <c r="E75" s="59"/>
      <c r="F75" s="60"/>
      <c r="G75" s="56"/>
      <c r="H75" s="12"/>
    </row>
    <row r="76" spans="1:11" x14ac:dyDescent="0.25">
      <c r="A76" s="12"/>
      <c r="B76" s="61" t="s">
        <v>112</v>
      </c>
      <c r="C76" s="62"/>
      <c r="D76" s="62"/>
      <c r="E76" s="62"/>
      <c r="F76" s="63"/>
      <c r="G76" s="56"/>
      <c r="H76" s="12"/>
    </row>
    <row r="77" spans="1:11" x14ac:dyDescent="0.25">
      <c r="A77" s="12"/>
      <c r="B77" s="61" t="s">
        <v>113</v>
      </c>
      <c r="C77" s="62"/>
      <c r="D77" s="62"/>
      <c r="E77" s="62"/>
      <c r="F77" s="63"/>
      <c r="G77" s="56"/>
      <c r="H77" s="12"/>
    </row>
    <row r="78" spans="1:11" x14ac:dyDescent="0.25">
      <c r="A78" s="12"/>
      <c r="B78" s="61" t="s">
        <v>114</v>
      </c>
      <c r="C78" s="62"/>
      <c r="D78" s="62"/>
      <c r="E78" s="62"/>
      <c r="F78" s="63"/>
      <c r="G78" s="56"/>
      <c r="H78" s="12"/>
    </row>
    <row r="79" spans="1:11" x14ac:dyDescent="0.25">
      <c r="A79" s="12"/>
      <c r="B79" s="61" t="s">
        <v>115</v>
      </c>
      <c r="C79" s="62"/>
      <c r="D79" s="62"/>
      <c r="E79" s="62"/>
      <c r="F79" s="63"/>
      <c r="G79" s="56"/>
      <c r="H79" s="12"/>
    </row>
    <row r="80" spans="1:11" x14ac:dyDescent="0.25">
      <c r="A80" s="12"/>
      <c r="B80" s="61" t="s">
        <v>116</v>
      </c>
      <c r="C80" s="62"/>
      <c r="D80" s="62"/>
      <c r="E80" s="62"/>
      <c r="F80" s="63"/>
      <c r="G80" s="56"/>
      <c r="H80" s="12"/>
    </row>
    <row r="81" spans="2:7" ht="45.75" thickBot="1" x14ac:dyDescent="0.3">
      <c r="B81" s="89" t="s">
        <v>133</v>
      </c>
      <c r="C81" s="65"/>
      <c r="D81" s="65"/>
      <c r="E81" s="65"/>
      <c r="F81" s="66"/>
      <c r="G81" s="56"/>
    </row>
    <row r="82" spans="2:7" x14ac:dyDescent="0.25">
      <c r="B82" s="67"/>
      <c r="C82" s="62"/>
      <c r="D82" s="62"/>
      <c r="E82" s="62"/>
      <c r="F82" s="62"/>
      <c r="G82" s="56"/>
    </row>
    <row r="83" spans="2:7" x14ac:dyDescent="0.25">
      <c r="B83" s="121" t="s">
        <v>118</v>
      </c>
      <c r="C83" s="122"/>
      <c r="D83" s="84"/>
      <c r="E83" s="75"/>
      <c r="F83" s="75"/>
      <c r="G83" s="56"/>
    </row>
    <row r="84" spans="2:7" x14ac:dyDescent="0.25">
      <c r="B84" s="97" t="s">
        <v>58</v>
      </c>
      <c r="C84" s="98" t="s">
        <v>119</v>
      </c>
      <c r="D84" s="99" t="s">
        <v>120</v>
      </c>
      <c r="E84" s="75"/>
      <c r="F84" s="75"/>
      <c r="G84" s="56"/>
    </row>
    <row r="85" spans="2:7" x14ac:dyDescent="0.25">
      <c r="B85" s="68" t="s">
        <v>121</v>
      </c>
      <c r="C85" s="69">
        <f>G30</f>
        <v>2044000</v>
      </c>
      <c r="D85" s="70">
        <f>+C85/C90</f>
        <v>0.3628572239412643</v>
      </c>
      <c r="E85" s="75"/>
      <c r="F85" s="75"/>
      <c r="G85" s="56"/>
    </row>
    <row r="86" spans="2:7" x14ac:dyDescent="0.25">
      <c r="B86" s="68" t="s">
        <v>122</v>
      </c>
      <c r="C86" s="69">
        <f>G36</f>
        <v>430000</v>
      </c>
      <c r="D86" s="70">
        <f>(C86/C90)</f>
        <v>7.6334934586469491E-2</v>
      </c>
      <c r="E86" s="75"/>
      <c r="F86" s="75"/>
      <c r="G86" s="56"/>
    </row>
    <row r="87" spans="2:7" x14ac:dyDescent="0.25">
      <c r="B87" s="68" t="s">
        <v>44</v>
      </c>
      <c r="C87" s="69">
        <f>G57</f>
        <v>1620828.1974999998</v>
      </c>
      <c r="D87" s="70">
        <f>(C87/C90)</f>
        <v>0.28773445216759941</v>
      </c>
      <c r="E87" s="75"/>
      <c r="F87" s="75"/>
      <c r="G87" s="56"/>
    </row>
    <row r="88" spans="2:7" x14ac:dyDescent="0.25">
      <c r="B88" s="68" t="s">
        <v>123</v>
      </c>
      <c r="C88" s="71">
        <f>G65</f>
        <v>1270000</v>
      </c>
      <c r="D88" s="70">
        <f>(C88/C90)</f>
        <v>0.2254543416856192</v>
      </c>
      <c r="E88" s="76"/>
      <c r="F88" s="76"/>
      <c r="G88" s="56"/>
    </row>
    <row r="89" spans="2:7" x14ac:dyDescent="0.25">
      <c r="B89" s="68" t="s">
        <v>56</v>
      </c>
      <c r="C89" s="71">
        <f>G68</f>
        <v>268241.40987500001</v>
      </c>
      <c r="D89" s="70">
        <f>(C89/C90)</f>
        <v>4.7619047619047623E-2</v>
      </c>
      <c r="E89" s="76"/>
      <c r="F89" s="76"/>
      <c r="G89" s="56"/>
    </row>
    <row r="90" spans="2:7" ht="15.75" thickBot="1" x14ac:dyDescent="0.3">
      <c r="B90" s="100" t="s">
        <v>124</v>
      </c>
      <c r="C90" s="101">
        <f>SUM(C85:C89)</f>
        <v>5633069.6073749997</v>
      </c>
      <c r="D90" s="102">
        <f>SUM(D85:D89)</f>
        <v>1</v>
      </c>
      <c r="E90" s="76"/>
      <c r="F90" s="76"/>
      <c r="G90" s="56"/>
    </row>
    <row r="91" spans="2:7" x14ac:dyDescent="0.25">
      <c r="B91" s="54"/>
      <c r="C91" s="55"/>
      <c r="D91" s="55"/>
      <c r="E91" s="55"/>
      <c r="F91" s="55"/>
      <c r="G91" s="56"/>
    </row>
    <row r="92" spans="2:7" x14ac:dyDescent="0.25">
      <c r="B92" s="72"/>
      <c r="C92" s="55"/>
      <c r="D92" s="55"/>
      <c r="E92" s="55"/>
      <c r="F92" s="55"/>
      <c r="G92" s="56"/>
    </row>
    <row r="93" spans="2:7" x14ac:dyDescent="0.25">
      <c r="B93" s="85" t="s">
        <v>129</v>
      </c>
      <c r="C93" s="86"/>
      <c r="D93" s="87"/>
      <c r="E93" s="88"/>
      <c r="G93" s="56"/>
    </row>
    <row r="94" spans="2:7" x14ac:dyDescent="0.25">
      <c r="B94" s="114" t="s">
        <v>131</v>
      </c>
      <c r="C94" s="115">
        <v>8</v>
      </c>
      <c r="D94" s="116">
        <v>10</v>
      </c>
      <c r="E94" s="106">
        <v>14</v>
      </c>
      <c r="G94" s="73"/>
    </row>
    <row r="95" spans="2:7" ht="15.75" thickBot="1" x14ac:dyDescent="0.3">
      <c r="B95" s="100" t="s">
        <v>132</v>
      </c>
      <c r="C95" s="117">
        <f>G69/1000</f>
        <v>5633.0696073749996</v>
      </c>
      <c r="D95" s="101">
        <f>G69/1250</f>
        <v>4506.4556858999995</v>
      </c>
      <c r="E95" s="107">
        <f>G69/1750</f>
        <v>3218.8969184999996</v>
      </c>
      <c r="G95" s="73"/>
    </row>
    <row r="96" spans="2:7" x14ac:dyDescent="0.25">
      <c r="B96" s="74" t="s">
        <v>125</v>
      </c>
      <c r="C96" s="62"/>
      <c r="D96" s="62"/>
      <c r="E96" s="62"/>
      <c r="F96" s="62"/>
      <c r="G96" s="62"/>
    </row>
  </sheetData>
  <mergeCells count="9">
    <mergeCell ref="E16:F16"/>
    <mergeCell ref="B18:G18"/>
    <mergeCell ref="B83:C83"/>
    <mergeCell ref="E10:F10"/>
    <mergeCell ref="E11:F11"/>
    <mergeCell ref="E12:F12"/>
    <mergeCell ref="E13:F13"/>
    <mergeCell ref="E14:F14"/>
    <mergeCell ref="E15:F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92"/>
  <sheetViews>
    <sheetView topLeftCell="A52" zoomScale="120" zoomScaleNormal="120" workbookViewId="0">
      <selection activeCell="I63" sqref="I63"/>
    </sheetView>
  </sheetViews>
  <sheetFormatPr baseColWidth="10" defaultRowHeight="15" x14ac:dyDescent="0.25"/>
  <cols>
    <col min="2" max="2" width="30" bestFit="1" customWidth="1"/>
    <col min="3" max="3" width="15.28515625" customWidth="1"/>
    <col min="4" max="4" width="9.85546875" bestFit="1" customWidth="1"/>
    <col min="5" max="5" width="12.140625" bestFit="1" customWidth="1"/>
    <col min="6" max="6" width="9.5703125" bestFit="1" customWidth="1"/>
    <col min="7" max="7" width="11.7109375" bestFit="1" customWidth="1"/>
    <col min="8" max="8" width="5.140625" customWidth="1"/>
    <col min="10" max="10" width="19.28515625" customWidth="1"/>
  </cols>
  <sheetData>
    <row r="8" spans="2:11" ht="27" customHeight="1" x14ac:dyDescent="0.25">
      <c r="B8" s="96" t="s">
        <v>0</v>
      </c>
      <c r="C8" s="13" t="s">
        <v>1</v>
      </c>
      <c r="D8" s="1"/>
      <c r="E8" s="128" t="s">
        <v>137</v>
      </c>
      <c r="F8" s="129"/>
      <c r="G8" s="35">
        <v>125</v>
      </c>
      <c r="I8" s="128" t="s">
        <v>109</v>
      </c>
      <c r="J8" s="129"/>
      <c r="K8" s="35">
        <f>125*2</f>
        <v>250</v>
      </c>
    </row>
    <row r="9" spans="2:11" ht="27" customHeight="1" x14ac:dyDescent="0.25">
      <c r="B9" s="118" t="s">
        <v>2</v>
      </c>
      <c r="C9" s="15" t="s">
        <v>3</v>
      </c>
      <c r="D9" s="1"/>
      <c r="E9" s="127" t="s">
        <v>4</v>
      </c>
      <c r="F9" s="127"/>
      <c r="G9" s="16" t="s">
        <v>5</v>
      </c>
      <c r="I9" s="127" t="s">
        <v>4</v>
      </c>
      <c r="J9" s="127"/>
      <c r="K9" s="16" t="s">
        <v>5</v>
      </c>
    </row>
    <row r="10" spans="2:11" ht="27" customHeight="1" x14ac:dyDescent="0.25">
      <c r="B10" s="118" t="s">
        <v>6</v>
      </c>
      <c r="C10" s="13" t="s">
        <v>7</v>
      </c>
      <c r="D10" s="1"/>
      <c r="E10" s="127" t="s">
        <v>108</v>
      </c>
      <c r="F10" s="127"/>
      <c r="G10" s="19">
        <v>18500</v>
      </c>
      <c r="I10" s="127" t="s">
        <v>8</v>
      </c>
      <c r="J10" s="127"/>
      <c r="K10" s="19">
        <v>4500</v>
      </c>
    </row>
    <row r="11" spans="2:11" ht="27" customHeight="1" x14ac:dyDescent="0.25">
      <c r="B11" s="118" t="s">
        <v>9</v>
      </c>
      <c r="C11" s="13" t="s">
        <v>10</v>
      </c>
      <c r="D11" s="2"/>
      <c r="E11" s="127" t="s">
        <v>11</v>
      </c>
      <c r="F11" s="127"/>
      <c r="G11" s="19">
        <f>+(G10*G8)*3</f>
        <v>6937500</v>
      </c>
      <c r="I11" s="127" t="s">
        <v>11</v>
      </c>
      <c r="J11" s="127"/>
      <c r="K11" s="19">
        <f>+K8*K10</f>
        <v>1125000</v>
      </c>
    </row>
    <row r="12" spans="2:11" ht="27" customHeight="1" x14ac:dyDescent="0.25">
      <c r="B12" s="118" t="s">
        <v>12</v>
      </c>
      <c r="C12" s="13" t="s">
        <v>13</v>
      </c>
      <c r="D12" s="2"/>
      <c r="E12" s="127" t="s">
        <v>92</v>
      </c>
      <c r="F12" s="127"/>
      <c r="G12" s="20" t="s">
        <v>15</v>
      </c>
      <c r="I12" s="127" t="s">
        <v>92</v>
      </c>
      <c r="J12" s="127"/>
      <c r="K12" s="20" t="s">
        <v>15</v>
      </c>
    </row>
    <row r="13" spans="2:11" ht="27" customHeight="1" x14ac:dyDescent="0.25">
      <c r="B13" s="118" t="s">
        <v>16</v>
      </c>
      <c r="C13" s="16" t="s">
        <v>13</v>
      </c>
      <c r="D13" s="2"/>
      <c r="E13" s="127" t="s">
        <v>17</v>
      </c>
      <c r="F13" s="127"/>
      <c r="G13" s="15" t="s">
        <v>67</v>
      </c>
      <c r="I13" s="127" t="s">
        <v>17</v>
      </c>
      <c r="J13" s="127"/>
      <c r="K13" s="15" t="s">
        <v>110</v>
      </c>
    </row>
    <row r="14" spans="2:11" ht="27" customHeight="1" x14ac:dyDescent="0.25">
      <c r="B14" s="118" t="s">
        <v>19</v>
      </c>
      <c r="C14" s="17">
        <v>44593</v>
      </c>
      <c r="D14" s="2"/>
      <c r="E14" s="123" t="s">
        <v>20</v>
      </c>
      <c r="F14" s="123"/>
      <c r="G14" s="15" t="s">
        <v>21</v>
      </c>
      <c r="I14" s="123" t="s">
        <v>20</v>
      </c>
      <c r="J14" s="123"/>
      <c r="K14" s="15" t="s">
        <v>21</v>
      </c>
    </row>
    <row r="15" spans="2:11" x14ac:dyDescent="0.25">
      <c r="B15" s="3"/>
      <c r="C15" s="4"/>
      <c r="D15" s="1"/>
      <c r="E15" s="2"/>
      <c r="F15" s="2"/>
      <c r="G15" s="5"/>
    </row>
    <row r="16" spans="2:11" x14ac:dyDescent="0.25">
      <c r="B16" s="124" t="s">
        <v>66</v>
      </c>
      <c r="C16" s="124"/>
      <c r="D16" s="124"/>
      <c r="E16" s="124"/>
      <c r="F16" s="124"/>
      <c r="G16" s="124"/>
    </row>
    <row r="17" spans="2:7" x14ac:dyDescent="0.25">
      <c r="B17" s="1"/>
      <c r="C17" s="6"/>
      <c r="D17" s="6"/>
      <c r="E17" s="7"/>
      <c r="F17" s="8"/>
      <c r="G17" s="1"/>
    </row>
    <row r="18" spans="2:7" x14ac:dyDescent="0.25">
      <c r="B18" s="48" t="s">
        <v>22</v>
      </c>
      <c r="C18" s="2"/>
      <c r="D18" s="2"/>
      <c r="E18" s="2"/>
      <c r="F18" s="2"/>
      <c r="G18" s="2"/>
    </row>
    <row r="19" spans="2:7" ht="18" x14ac:dyDescent="0.25">
      <c r="B19" s="40" t="s">
        <v>23</v>
      </c>
      <c r="C19" s="40" t="s">
        <v>24</v>
      </c>
      <c r="D19" s="40" t="s">
        <v>25</v>
      </c>
      <c r="E19" s="40" t="s">
        <v>26</v>
      </c>
      <c r="F19" s="40" t="s">
        <v>27</v>
      </c>
      <c r="G19" s="40" t="s">
        <v>28</v>
      </c>
    </row>
    <row r="20" spans="2:7" x14ac:dyDescent="0.25">
      <c r="B20" s="21" t="s">
        <v>94</v>
      </c>
      <c r="C20" s="22" t="s">
        <v>30</v>
      </c>
      <c r="D20" s="22">
        <v>25</v>
      </c>
      <c r="E20" s="23" t="s">
        <v>31</v>
      </c>
      <c r="F20" s="24">
        <v>28000</v>
      </c>
      <c r="G20" s="24">
        <f>F20*D20</f>
        <v>700000</v>
      </c>
    </row>
    <row r="21" spans="2:7" x14ac:dyDescent="0.25">
      <c r="B21" s="21" t="s">
        <v>95</v>
      </c>
      <c r="C21" s="22" t="s">
        <v>30</v>
      </c>
      <c r="D21" s="22">
        <v>5</v>
      </c>
      <c r="E21" s="23" t="s">
        <v>33</v>
      </c>
      <c r="F21" s="24">
        <v>28000</v>
      </c>
      <c r="G21" s="24">
        <f>F21*D21</f>
        <v>140000</v>
      </c>
    </row>
    <row r="22" spans="2:7" x14ac:dyDescent="0.25">
      <c r="B22" s="21" t="s">
        <v>96</v>
      </c>
      <c r="C22" s="22" t="s">
        <v>30</v>
      </c>
      <c r="D22" s="22">
        <v>10</v>
      </c>
      <c r="E22" s="23" t="s">
        <v>97</v>
      </c>
      <c r="F22" s="24">
        <v>28000</v>
      </c>
      <c r="G22" s="24">
        <f t="shared" ref="G22" si="0">F22*D22</f>
        <v>280000</v>
      </c>
    </row>
    <row r="23" spans="2:7" x14ac:dyDescent="0.25">
      <c r="B23" s="21" t="s">
        <v>98</v>
      </c>
      <c r="C23" s="22" t="s">
        <v>30</v>
      </c>
      <c r="D23" s="22">
        <v>1</v>
      </c>
      <c r="E23" s="23" t="s">
        <v>126</v>
      </c>
      <c r="F23" s="24">
        <v>28000</v>
      </c>
      <c r="G23" s="24">
        <f>F23*D23</f>
        <v>28000</v>
      </c>
    </row>
    <row r="24" spans="2:7" x14ac:dyDescent="0.25">
      <c r="B24" s="21" t="s">
        <v>99</v>
      </c>
      <c r="C24" s="22" t="s">
        <v>30</v>
      </c>
      <c r="D24" s="22">
        <v>2</v>
      </c>
      <c r="E24" s="23" t="s">
        <v>127</v>
      </c>
      <c r="F24" s="24">
        <v>28000</v>
      </c>
      <c r="G24" s="24">
        <f>F24*D24</f>
        <v>56000</v>
      </c>
    </row>
    <row r="25" spans="2:7" x14ac:dyDescent="0.25">
      <c r="B25" s="41" t="s">
        <v>40</v>
      </c>
      <c r="C25" s="42"/>
      <c r="D25" s="43"/>
      <c r="E25" s="42"/>
      <c r="F25" s="44"/>
      <c r="G25" s="44">
        <f>SUM(G20:G24)</f>
        <v>1204000</v>
      </c>
    </row>
    <row r="26" spans="2:7" x14ac:dyDescent="0.25">
      <c r="B26" s="2"/>
      <c r="C26" s="9"/>
      <c r="D26" s="9"/>
      <c r="E26" s="9"/>
      <c r="F26" s="2"/>
      <c r="G26" s="2"/>
    </row>
    <row r="27" spans="2:7" x14ac:dyDescent="0.25">
      <c r="B27" s="48" t="s">
        <v>41</v>
      </c>
      <c r="C27" s="10"/>
      <c r="D27" s="10"/>
      <c r="E27" s="10"/>
      <c r="F27" s="11"/>
      <c r="G27" s="11"/>
    </row>
    <row r="28" spans="2:7" ht="18" x14ac:dyDescent="0.25">
      <c r="B28" s="43" t="s">
        <v>58</v>
      </c>
      <c r="C28" s="40" t="s">
        <v>45</v>
      </c>
      <c r="D28" s="40" t="s">
        <v>46</v>
      </c>
      <c r="E28" s="43" t="s">
        <v>59</v>
      </c>
      <c r="F28" s="40" t="s">
        <v>27</v>
      </c>
      <c r="G28" s="43" t="s">
        <v>28</v>
      </c>
    </row>
    <row r="29" spans="2:7" x14ac:dyDescent="0.25">
      <c r="B29" s="49" t="s">
        <v>128</v>
      </c>
      <c r="C29" s="34" t="s">
        <v>104</v>
      </c>
      <c r="D29" s="34">
        <v>2</v>
      </c>
      <c r="E29" s="33" t="s">
        <v>103</v>
      </c>
      <c r="F29" s="80">
        <v>50000</v>
      </c>
      <c r="G29" s="81">
        <f>+F29*D29</f>
        <v>100000</v>
      </c>
    </row>
    <row r="30" spans="2:7" x14ac:dyDescent="0.25">
      <c r="B30" s="36"/>
      <c r="C30" s="33"/>
      <c r="D30" s="37"/>
      <c r="E30" s="33"/>
      <c r="F30" s="38"/>
      <c r="G30" s="38"/>
    </row>
    <row r="31" spans="2:7" x14ac:dyDescent="0.25">
      <c r="B31" s="46" t="s">
        <v>60</v>
      </c>
      <c r="C31" s="42"/>
      <c r="D31" s="42"/>
      <c r="E31" s="42"/>
      <c r="F31" s="46"/>
      <c r="G31" s="47">
        <f>SUM(G29:G30)</f>
        <v>100000</v>
      </c>
    </row>
    <row r="32" spans="2:7" x14ac:dyDescent="0.25">
      <c r="B32" s="2"/>
      <c r="C32" s="9"/>
      <c r="D32" s="9"/>
      <c r="E32" s="9"/>
      <c r="F32" s="2"/>
      <c r="G32" s="2"/>
    </row>
    <row r="33" spans="2:9" x14ac:dyDescent="0.25">
      <c r="B33" s="48" t="s">
        <v>43</v>
      </c>
      <c r="C33" s="9"/>
      <c r="D33" s="9"/>
      <c r="E33" s="9"/>
      <c r="F33" s="2"/>
      <c r="G33" s="2"/>
    </row>
    <row r="34" spans="2:9" ht="18" x14ac:dyDescent="0.25">
      <c r="B34" s="40" t="s">
        <v>44</v>
      </c>
      <c r="C34" s="40" t="s">
        <v>45</v>
      </c>
      <c r="D34" s="40" t="s">
        <v>46</v>
      </c>
      <c r="E34" s="40" t="s">
        <v>26</v>
      </c>
      <c r="F34" s="40" t="s">
        <v>27</v>
      </c>
      <c r="G34" s="40" t="s">
        <v>28</v>
      </c>
    </row>
    <row r="35" spans="2:9" x14ac:dyDescent="0.25">
      <c r="B35" s="21" t="s">
        <v>93</v>
      </c>
      <c r="C35" s="22" t="s">
        <v>86</v>
      </c>
      <c r="D35" s="25">
        <v>500</v>
      </c>
      <c r="E35" s="23" t="s">
        <v>74</v>
      </c>
      <c r="F35" s="26">
        <f>Polinizacion!F35*'Pol. al 22.06.22'!$I$35</f>
        <v>653.125</v>
      </c>
      <c r="G35" s="24">
        <f>+F35*D35</f>
        <v>326562.5</v>
      </c>
      <c r="I35" s="119">
        <v>1.0449999999999999</v>
      </c>
    </row>
    <row r="36" spans="2:9" x14ac:dyDescent="0.25">
      <c r="B36" s="21" t="s">
        <v>79</v>
      </c>
      <c r="C36" s="22" t="s">
        <v>54</v>
      </c>
      <c r="D36" s="25">
        <v>40</v>
      </c>
      <c r="E36" s="23" t="s">
        <v>72</v>
      </c>
      <c r="F36" s="26">
        <f>Polinizacion!F36*'Pol. al 22.06.22'!$I$35</f>
        <v>4794.46</v>
      </c>
      <c r="G36" s="24">
        <f t="shared" ref="G36:G40" si="1">+F36*D36</f>
        <v>191778.4</v>
      </c>
    </row>
    <row r="37" spans="2:9" x14ac:dyDescent="0.25">
      <c r="B37" s="21" t="s">
        <v>80</v>
      </c>
      <c r="C37" s="22" t="s">
        <v>54</v>
      </c>
      <c r="D37" s="25">
        <v>1</v>
      </c>
      <c r="E37" s="23" t="s">
        <v>72</v>
      </c>
      <c r="F37" s="26">
        <f>Polinizacion!F37*'Pol. al 22.06.22'!$I$35</f>
        <v>19593.75</v>
      </c>
      <c r="G37" s="24">
        <f t="shared" si="1"/>
        <v>19593.75</v>
      </c>
    </row>
    <row r="38" spans="2:9" x14ac:dyDescent="0.25">
      <c r="B38" s="21" t="s">
        <v>81</v>
      </c>
      <c r="C38" s="22" t="s">
        <v>54</v>
      </c>
      <c r="D38" s="25">
        <v>40</v>
      </c>
      <c r="E38" s="23" t="s">
        <v>72</v>
      </c>
      <c r="F38" s="26">
        <f>Polinizacion!F38*'Pol. al 22.06.22'!$I$35</f>
        <v>1959.3749999999998</v>
      </c>
      <c r="G38" s="24">
        <f t="shared" si="1"/>
        <v>78374.999999999985</v>
      </c>
    </row>
    <row r="39" spans="2:9" x14ac:dyDescent="0.25">
      <c r="B39" s="21" t="s">
        <v>82</v>
      </c>
      <c r="C39" s="22" t="s">
        <v>54</v>
      </c>
      <c r="D39" s="25">
        <v>10</v>
      </c>
      <c r="E39" s="23" t="s">
        <v>72</v>
      </c>
      <c r="F39" s="26">
        <f>Polinizacion!F39*'Pol. al 22.06.22'!$I$35</f>
        <v>19593.75</v>
      </c>
      <c r="G39" s="24">
        <f t="shared" si="1"/>
        <v>195937.5</v>
      </c>
    </row>
    <row r="40" spans="2:9" x14ac:dyDescent="0.25">
      <c r="B40" s="21" t="s">
        <v>83</v>
      </c>
      <c r="C40" s="22" t="s">
        <v>54</v>
      </c>
      <c r="D40" s="25">
        <v>10</v>
      </c>
      <c r="E40" s="23" t="s">
        <v>72</v>
      </c>
      <c r="F40" s="26">
        <f>Polinizacion!F40*'Pol. al 22.06.22'!$I$35</f>
        <v>3265.625</v>
      </c>
      <c r="G40" s="24">
        <f t="shared" si="1"/>
        <v>32656.25</v>
      </c>
    </row>
    <row r="41" spans="2:9" x14ac:dyDescent="0.25">
      <c r="B41" s="30" t="s">
        <v>100</v>
      </c>
      <c r="C41" s="23" t="s">
        <v>24</v>
      </c>
      <c r="D41" s="28">
        <v>250</v>
      </c>
      <c r="E41" s="23" t="s">
        <v>101</v>
      </c>
      <c r="F41" s="26">
        <f>Polinizacion!F41*'Pol. al 22.06.22'!$I$35</f>
        <v>327.08499999999998</v>
      </c>
      <c r="G41" s="29">
        <f t="shared" ref="G41" si="2">+D41*F41</f>
        <v>81771.25</v>
      </c>
    </row>
    <row r="42" spans="2:9" x14ac:dyDescent="0.25">
      <c r="B42" s="21"/>
      <c r="C42" s="22"/>
      <c r="D42" s="25"/>
      <c r="E42" s="23"/>
      <c r="F42" s="26"/>
      <c r="G42" s="24"/>
    </row>
    <row r="43" spans="2:9" x14ac:dyDescent="0.25">
      <c r="B43" s="40" t="s">
        <v>48</v>
      </c>
      <c r="C43" s="40"/>
      <c r="D43" s="40"/>
      <c r="E43" s="40"/>
      <c r="F43" s="40"/>
      <c r="G43" s="45">
        <f>SUM(G35:G42)</f>
        <v>926674.65</v>
      </c>
    </row>
    <row r="44" spans="2:9" x14ac:dyDescent="0.25">
      <c r="B44" s="78"/>
      <c r="C44" s="78"/>
      <c r="D44" s="78"/>
      <c r="E44" s="78"/>
      <c r="F44" s="78"/>
      <c r="G44" s="79"/>
    </row>
    <row r="45" spans="2:9" s="82" customFormat="1" x14ac:dyDescent="0.25">
      <c r="B45" s="83" t="s">
        <v>49</v>
      </c>
      <c r="C45" s="78"/>
      <c r="D45" s="78"/>
      <c r="E45" s="78"/>
      <c r="F45" s="78"/>
      <c r="G45" s="79"/>
    </row>
    <row r="46" spans="2:9" ht="18" x14ac:dyDescent="0.25">
      <c r="B46" s="40" t="s">
        <v>44</v>
      </c>
      <c r="C46" s="40" t="s">
        <v>45</v>
      </c>
      <c r="D46" s="40" t="s">
        <v>46</v>
      </c>
      <c r="E46" s="40" t="s">
        <v>26</v>
      </c>
      <c r="F46" s="40" t="s">
        <v>27</v>
      </c>
      <c r="G46" s="40" t="s">
        <v>28</v>
      </c>
    </row>
    <row r="47" spans="2:9" x14ac:dyDescent="0.25">
      <c r="B47" s="30" t="s">
        <v>84</v>
      </c>
      <c r="C47" s="23" t="s">
        <v>86</v>
      </c>
      <c r="D47" s="31">
        <v>3.5</v>
      </c>
      <c r="E47" s="23" t="s">
        <v>38</v>
      </c>
      <c r="F47" s="29">
        <f>Polinizacion!F47*'Pol. al 22.06.22'!$I$35</f>
        <v>11038.334999999999</v>
      </c>
      <c r="G47" s="29">
        <f t="shared" ref="G47:G50" si="3">+F47*D47</f>
        <v>38634.172500000001</v>
      </c>
    </row>
    <row r="48" spans="2:9" x14ac:dyDescent="0.25">
      <c r="B48" s="30" t="s">
        <v>136</v>
      </c>
      <c r="C48" s="23" t="s">
        <v>86</v>
      </c>
      <c r="D48" s="28">
        <v>0.5</v>
      </c>
      <c r="E48" s="23"/>
      <c r="F48" s="29">
        <f>Polinizacion!F48*'Pol. al 22.06.22'!$I$35</f>
        <v>143687.5</v>
      </c>
      <c r="G48" s="29">
        <f t="shared" si="3"/>
        <v>71843.75</v>
      </c>
    </row>
    <row r="49" spans="2:10" x14ac:dyDescent="0.25">
      <c r="B49" s="30" t="s">
        <v>105</v>
      </c>
      <c r="C49" s="23" t="s">
        <v>86</v>
      </c>
      <c r="D49" s="31">
        <v>26</v>
      </c>
      <c r="E49" s="23" t="s">
        <v>50</v>
      </c>
      <c r="F49" s="29">
        <f>Polinizacion!F49*'Pol. al 22.06.22'!$I$35</f>
        <v>653.125</v>
      </c>
      <c r="G49" s="29">
        <f t="shared" si="3"/>
        <v>16981.25</v>
      </c>
    </row>
    <row r="50" spans="2:10" x14ac:dyDescent="0.25">
      <c r="B50" s="30" t="s">
        <v>106</v>
      </c>
      <c r="C50" s="23" t="s">
        <v>47</v>
      </c>
      <c r="D50" s="31">
        <v>125</v>
      </c>
      <c r="E50" s="23" t="s">
        <v>51</v>
      </c>
      <c r="F50" s="29">
        <f>Polinizacion!F50*'Pol. al 22.06.22'!$I$35</f>
        <v>2743.125</v>
      </c>
      <c r="G50" s="29">
        <f t="shared" si="3"/>
        <v>342890.625</v>
      </c>
    </row>
    <row r="51" spans="2:10" x14ac:dyDescent="0.25">
      <c r="B51" s="40" t="s">
        <v>48</v>
      </c>
      <c r="C51" s="40"/>
      <c r="D51" s="40"/>
      <c r="E51" s="40"/>
      <c r="F51" s="40"/>
      <c r="G51" s="45">
        <f>SUM(G47:G50)</f>
        <v>470349.79749999999</v>
      </c>
    </row>
    <row r="52" spans="2:10" x14ac:dyDescent="0.25">
      <c r="B52" s="77"/>
      <c r="C52" s="78"/>
      <c r="D52" s="78"/>
      <c r="E52" s="78"/>
      <c r="F52" s="78"/>
      <c r="G52" s="79"/>
    </row>
    <row r="53" spans="2:10" x14ac:dyDescent="0.25">
      <c r="B53" s="48" t="s">
        <v>57</v>
      </c>
      <c r="C53" s="10"/>
      <c r="D53" s="10"/>
      <c r="E53" s="10"/>
      <c r="F53" s="11"/>
      <c r="G53" s="11"/>
    </row>
    <row r="54" spans="2:10" ht="18" x14ac:dyDescent="0.25">
      <c r="B54" s="43" t="s">
        <v>58</v>
      </c>
      <c r="C54" s="40" t="s">
        <v>45</v>
      </c>
      <c r="D54" s="40" t="s">
        <v>46</v>
      </c>
      <c r="E54" s="43" t="s">
        <v>59</v>
      </c>
      <c r="F54" s="40" t="s">
        <v>27</v>
      </c>
      <c r="G54" s="43" t="s">
        <v>28</v>
      </c>
    </row>
    <row r="55" spans="2:10" x14ac:dyDescent="0.25">
      <c r="B55" s="49" t="s">
        <v>90</v>
      </c>
      <c r="C55" s="34" t="s">
        <v>88</v>
      </c>
      <c r="D55" s="34">
        <v>10</v>
      </c>
      <c r="E55" s="33" t="s">
        <v>89</v>
      </c>
      <c r="F55" s="80">
        <v>180000</v>
      </c>
      <c r="G55" s="81">
        <f>+F55*D55</f>
        <v>1800000</v>
      </c>
    </row>
    <row r="56" spans="2:10" x14ac:dyDescent="0.25">
      <c r="B56" s="49" t="s">
        <v>102</v>
      </c>
      <c r="C56" s="34" t="s">
        <v>88</v>
      </c>
      <c r="D56" s="34">
        <v>1</v>
      </c>
      <c r="E56" s="33" t="s">
        <v>103</v>
      </c>
      <c r="F56" s="80">
        <v>800000</v>
      </c>
      <c r="G56" s="81">
        <f>+F56*D56</f>
        <v>800000</v>
      </c>
    </row>
    <row r="57" spans="2:10" x14ac:dyDescent="0.25">
      <c r="B57" s="36"/>
      <c r="C57" s="33"/>
      <c r="D57" s="37"/>
      <c r="E57" s="33"/>
      <c r="F57" s="38"/>
      <c r="G57" s="38"/>
    </row>
    <row r="58" spans="2:10" x14ac:dyDescent="0.25">
      <c r="B58" s="46" t="s">
        <v>60</v>
      </c>
      <c r="C58" s="42"/>
      <c r="D58" s="42"/>
      <c r="E58" s="42"/>
      <c r="F58" s="46"/>
      <c r="G58" s="47">
        <f>SUM(G55:G57)</f>
        <v>2600000</v>
      </c>
    </row>
    <row r="59" spans="2:10" x14ac:dyDescent="0.25">
      <c r="B59" s="8"/>
      <c r="C59" s="2"/>
      <c r="D59" s="2"/>
      <c r="E59" s="2"/>
      <c r="F59" s="2"/>
      <c r="G59" s="8"/>
    </row>
    <row r="60" spans="2:10" x14ac:dyDescent="0.25">
      <c r="B60" s="108" t="s">
        <v>61</v>
      </c>
      <c r="C60" s="109"/>
      <c r="D60" s="109"/>
      <c r="E60" s="109"/>
      <c r="F60" s="109"/>
      <c r="G60" s="110">
        <f>+G58+G51+G43+G25+G31</f>
        <v>5301024.4474999998</v>
      </c>
    </row>
    <row r="61" spans="2:10" x14ac:dyDescent="0.25">
      <c r="B61" s="111" t="s">
        <v>62</v>
      </c>
      <c r="C61" s="112"/>
      <c r="D61" s="112"/>
      <c r="E61" s="112"/>
      <c r="F61" s="112"/>
      <c r="G61" s="113">
        <f>0.05*G60</f>
        <v>265051.22237500001</v>
      </c>
      <c r="I61" s="52"/>
      <c r="J61" s="52"/>
    </row>
    <row r="62" spans="2:10" x14ac:dyDescent="0.25">
      <c r="B62" s="108" t="s">
        <v>63</v>
      </c>
      <c r="C62" s="109"/>
      <c r="D62" s="109"/>
      <c r="E62" s="109"/>
      <c r="F62" s="109"/>
      <c r="G62" s="110">
        <f>SUM(G60:G61)</f>
        <v>5566075.6698749997</v>
      </c>
      <c r="I62" s="53"/>
      <c r="J62" s="52"/>
    </row>
    <row r="63" spans="2:10" x14ac:dyDescent="0.25">
      <c r="B63" s="111" t="s">
        <v>64</v>
      </c>
      <c r="C63" s="112"/>
      <c r="D63" s="112"/>
      <c r="E63" s="112"/>
      <c r="F63" s="112"/>
      <c r="G63" s="120">
        <f>G11</f>
        <v>6937500</v>
      </c>
      <c r="I63" s="52"/>
      <c r="J63" s="52"/>
    </row>
    <row r="64" spans="2:10" x14ac:dyDescent="0.25">
      <c r="B64" s="108" t="s">
        <v>65</v>
      </c>
      <c r="C64" s="109"/>
      <c r="D64" s="109"/>
      <c r="E64" s="109"/>
      <c r="F64" s="109"/>
      <c r="G64" s="110">
        <f>+G63-G62</f>
        <v>1371424.3301250003</v>
      </c>
      <c r="I64" s="53"/>
      <c r="J64" s="52"/>
    </row>
    <row r="65" spans="2:10" x14ac:dyDescent="0.25">
      <c r="I65" s="52"/>
      <c r="J65" s="52"/>
    </row>
    <row r="66" spans="2:10" x14ac:dyDescent="0.25">
      <c r="B66" t="s">
        <v>107</v>
      </c>
    </row>
    <row r="68" spans="2:10" ht="15.75" thickBot="1" x14ac:dyDescent="0.3">
      <c r="B68" s="54"/>
      <c r="C68" s="55"/>
      <c r="D68" s="55"/>
      <c r="E68" s="55"/>
      <c r="F68" s="55"/>
      <c r="G68" s="56"/>
      <c r="H68" s="57"/>
    </row>
    <row r="69" spans="2:10" x14ac:dyDescent="0.25">
      <c r="B69" s="58" t="s">
        <v>111</v>
      </c>
      <c r="C69" s="59"/>
      <c r="D69" s="59"/>
      <c r="E69" s="59"/>
      <c r="F69" s="60"/>
      <c r="G69" s="56"/>
      <c r="H69" s="57"/>
    </row>
    <row r="70" spans="2:10" x14ac:dyDescent="0.25">
      <c r="B70" s="61" t="s">
        <v>112</v>
      </c>
      <c r="C70" s="62"/>
      <c r="D70" s="62"/>
      <c r="E70" s="62"/>
      <c r="F70" s="63"/>
      <c r="G70" s="56"/>
      <c r="H70" s="57"/>
    </row>
    <row r="71" spans="2:10" x14ac:dyDescent="0.25">
      <c r="B71" s="61" t="s">
        <v>113</v>
      </c>
      <c r="C71" s="62"/>
      <c r="D71" s="62"/>
      <c r="E71" s="62"/>
      <c r="F71" s="63"/>
      <c r="G71" s="56"/>
      <c r="H71" s="57"/>
    </row>
    <row r="72" spans="2:10" x14ac:dyDescent="0.25">
      <c r="B72" s="61" t="s">
        <v>114</v>
      </c>
      <c r="C72" s="62"/>
      <c r="D72" s="62"/>
      <c r="E72" s="62"/>
      <c r="F72" s="63"/>
      <c r="G72" s="56"/>
      <c r="H72" s="57"/>
    </row>
    <row r="73" spans="2:10" x14ac:dyDescent="0.25">
      <c r="B73" s="61" t="s">
        <v>115</v>
      </c>
      <c r="C73" s="62"/>
      <c r="D73" s="62"/>
      <c r="E73" s="62"/>
      <c r="F73" s="63"/>
      <c r="G73" s="56"/>
      <c r="H73" s="57"/>
    </row>
    <row r="74" spans="2:10" x14ac:dyDescent="0.25">
      <c r="B74" s="61" t="s">
        <v>116</v>
      </c>
      <c r="C74" s="62"/>
      <c r="D74" s="62"/>
      <c r="E74" s="62"/>
      <c r="F74" s="63"/>
      <c r="G74" s="56"/>
      <c r="H74" s="57"/>
    </row>
    <row r="75" spans="2:10" ht="15.75" thickBot="1" x14ac:dyDescent="0.3">
      <c r="B75" s="64" t="s">
        <v>117</v>
      </c>
      <c r="C75" s="65"/>
      <c r="D75" s="65"/>
      <c r="E75" s="65"/>
      <c r="F75" s="66"/>
      <c r="G75" s="56"/>
      <c r="H75" s="57"/>
    </row>
    <row r="76" spans="2:10" x14ac:dyDescent="0.25">
      <c r="B76" s="67"/>
      <c r="C76" s="62"/>
      <c r="D76" s="62"/>
      <c r="E76" s="62"/>
      <c r="F76" s="62"/>
      <c r="G76" s="56"/>
      <c r="H76" s="57"/>
    </row>
    <row r="77" spans="2:10" x14ac:dyDescent="0.25">
      <c r="B77" s="121" t="s">
        <v>118</v>
      </c>
      <c r="C77" s="122"/>
      <c r="D77" s="84"/>
      <c r="E77" s="75"/>
      <c r="F77" s="75"/>
      <c r="G77" s="56"/>
      <c r="H77" s="57"/>
    </row>
    <row r="78" spans="2:10" x14ac:dyDescent="0.25">
      <c r="B78" s="97" t="s">
        <v>58</v>
      </c>
      <c r="C78" s="98" t="s">
        <v>119</v>
      </c>
      <c r="D78" s="99" t="s">
        <v>120</v>
      </c>
      <c r="E78" s="75"/>
      <c r="F78" s="75"/>
      <c r="G78" s="56"/>
      <c r="H78" s="57"/>
    </row>
    <row r="79" spans="2:10" x14ac:dyDescent="0.25">
      <c r="B79" s="68" t="s">
        <v>121</v>
      </c>
      <c r="C79" s="69">
        <f>G25</f>
        <v>1204000</v>
      </c>
      <c r="D79" s="70">
        <f>(C79/C85)</f>
        <v>0.21631039019400158</v>
      </c>
      <c r="E79" s="75"/>
      <c r="F79" s="75"/>
      <c r="G79" s="56"/>
      <c r="H79" s="57"/>
    </row>
    <row r="80" spans="2:10" x14ac:dyDescent="0.25">
      <c r="B80" s="68" t="s">
        <v>122</v>
      </c>
      <c r="C80" s="69">
        <f>G31</f>
        <v>100000</v>
      </c>
      <c r="D80" s="70">
        <f>(C80/C85)</f>
        <v>1.7965979251993489E-2</v>
      </c>
      <c r="E80" s="75"/>
      <c r="F80" s="75"/>
      <c r="G80" s="56"/>
      <c r="H80" s="57"/>
    </row>
    <row r="81" spans="2:8" x14ac:dyDescent="0.25">
      <c r="B81" s="68" t="s">
        <v>44</v>
      </c>
      <c r="C81" s="69">
        <f>G43</f>
        <v>926674.65</v>
      </c>
      <c r="D81" s="70">
        <f>(C81/C85)</f>
        <v>0.16648617535248328</v>
      </c>
      <c r="E81" s="75"/>
      <c r="F81" s="75"/>
      <c r="G81" s="56"/>
      <c r="H81" s="57"/>
    </row>
    <row r="82" spans="2:8" x14ac:dyDescent="0.25">
      <c r="B82" s="68" t="s">
        <v>49</v>
      </c>
      <c r="C82" s="69">
        <f>G51</f>
        <v>470349.79749999999</v>
      </c>
      <c r="D82" s="70">
        <f>+C82/C85</f>
        <v>8.4502947030643386E-2</v>
      </c>
      <c r="E82" s="75"/>
      <c r="F82" s="75"/>
      <c r="G82" s="56"/>
      <c r="H82" s="57"/>
    </row>
    <row r="83" spans="2:8" x14ac:dyDescent="0.25">
      <c r="B83" s="68" t="s">
        <v>123</v>
      </c>
      <c r="C83" s="71">
        <f>G58</f>
        <v>2600000</v>
      </c>
      <c r="D83" s="70">
        <f>(C83/C85)</f>
        <v>0.46711546055183067</v>
      </c>
      <c r="E83" s="76"/>
      <c r="F83" s="76"/>
      <c r="G83" s="56"/>
      <c r="H83" s="57"/>
    </row>
    <row r="84" spans="2:8" x14ac:dyDescent="0.25">
      <c r="B84" s="68" t="s">
        <v>56</v>
      </c>
      <c r="C84" s="71">
        <f>G61</f>
        <v>265051.22237500001</v>
      </c>
      <c r="D84" s="70">
        <f>(C84/C85)</f>
        <v>4.7619047619047623E-2</v>
      </c>
      <c r="E84" s="76"/>
      <c r="F84" s="76"/>
      <c r="G84" s="56"/>
      <c r="H84" s="57"/>
    </row>
    <row r="85" spans="2:8" ht="15.75" thickBot="1" x14ac:dyDescent="0.3">
      <c r="B85" s="100" t="s">
        <v>124</v>
      </c>
      <c r="C85" s="101">
        <f>SUM(C79:C84)</f>
        <v>5566075.6698749997</v>
      </c>
      <c r="D85" s="102">
        <f>SUM(D79:D84)</f>
        <v>1</v>
      </c>
      <c r="E85" s="76"/>
      <c r="F85" s="76"/>
      <c r="G85" s="56"/>
      <c r="H85" s="57"/>
    </row>
    <row r="86" spans="2:8" x14ac:dyDescent="0.25">
      <c r="B86" s="54"/>
      <c r="C86" s="55"/>
      <c r="D86" s="55"/>
      <c r="E86" s="55"/>
      <c r="F86" s="55"/>
      <c r="G86" s="56"/>
      <c r="H86" s="57"/>
    </row>
    <row r="87" spans="2:8" x14ac:dyDescent="0.25">
      <c r="B87" s="72"/>
      <c r="C87" s="55"/>
      <c r="D87" s="55"/>
      <c r="E87" s="55"/>
      <c r="F87" s="55"/>
      <c r="G87" s="56"/>
      <c r="H87" s="57"/>
    </row>
    <row r="88" spans="2:8" x14ac:dyDescent="0.25">
      <c r="B88" s="85" t="s">
        <v>129</v>
      </c>
      <c r="C88" s="86"/>
      <c r="D88" s="87"/>
      <c r="E88" s="87"/>
      <c r="F88" s="88"/>
      <c r="G88" s="56"/>
      <c r="H88" s="57"/>
    </row>
    <row r="89" spans="2:8" x14ac:dyDescent="0.25">
      <c r="B89" s="97" t="s">
        <v>130</v>
      </c>
      <c r="C89" s="103">
        <v>14200</v>
      </c>
      <c r="D89" s="103">
        <v>18000</v>
      </c>
      <c r="E89" s="103">
        <v>25000</v>
      </c>
      <c r="F89" s="104">
        <v>18500</v>
      </c>
      <c r="G89" s="73"/>
      <c r="H89" s="57"/>
    </row>
    <row r="90" spans="2:8" x14ac:dyDescent="0.25">
      <c r="B90" s="97" t="s">
        <v>131</v>
      </c>
      <c r="C90" s="105"/>
      <c r="D90" s="105"/>
      <c r="E90" s="105"/>
      <c r="F90" s="106">
        <v>2</v>
      </c>
      <c r="G90" s="73"/>
      <c r="H90" s="57"/>
    </row>
    <row r="91" spans="2:8" ht="15.75" thickBot="1" x14ac:dyDescent="0.3">
      <c r="B91" s="100" t="s">
        <v>132</v>
      </c>
      <c r="C91" s="101"/>
      <c r="D91" s="101">
        <f>(F64/D89)</f>
        <v>0</v>
      </c>
      <c r="E91" s="101"/>
      <c r="F91" s="107">
        <f>+G62/G8</f>
        <v>44528.605358999994</v>
      </c>
      <c r="G91" s="73"/>
      <c r="H91" s="57"/>
    </row>
    <row r="92" spans="2:8" x14ac:dyDescent="0.25">
      <c r="B92" s="74" t="s">
        <v>125</v>
      </c>
      <c r="C92" s="62"/>
      <c r="D92" s="62"/>
      <c r="E92" s="62"/>
      <c r="F92" s="62"/>
      <c r="G92" s="62"/>
      <c r="H92" s="57"/>
    </row>
  </sheetData>
  <mergeCells count="16">
    <mergeCell ref="E14:F14"/>
    <mergeCell ref="I14:J14"/>
    <mergeCell ref="B16:G16"/>
    <mergeCell ref="B77:C77"/>
    <mergeCell ref="E11:F11"/>
    <mergeCell ref="I11:J11"/>
    <mergeCell ref="E12:F12"/>
    <mergeCell ref="I12:J12"/>
    <mergeCell ref="E13:F13"/>
    <mergeCell ref="I13:J13"/>
    <mergeCell ref="E8:F8"/>
    <mergeCell ref="I8:J8"/>
    <mergeCell ref="E9:F9"/>
    <mergeCell ref="I9:J9"/>
    <mergeCell ref="E10:F10"/>
    <mergeCell ref="I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437F83-7393-4B84-A090-4007F902A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83396-E8E0-4563-A8DF-7619F4CB8F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A0B75-0DDB-4000-B7BD-CC500371F8B4}">
  <ds:schemaRefs>
    <ds:schemaRef ds:uri="c5dbce2d-49dc-4afe-a5b0-d7fb7a901161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1030f0af-99cb-42f1-88fc-acec7333119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Miel</vt:lpstr>
      <vt:lpstr>Polinizacion</vt:lpstr>
      <vt:lpstr>Miel al 22.06.22</vt:lpstr>
      <vt:lpstr>Pol. al 22.06.22</vt:lpstr>
      <vt:lpstr>Miel!Área_de_impresión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2016-07-11T16:09:27Z</cp:lastPrinted>
  <dcterms:created xsi:type="dcterms:W3CDTF">2016-06-08T16:19:35Z</dcterms:created>
  <dcterms:modified xsi:type="dcterms:W3CDTF">2023-05-03T14:21:09Z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