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rioseco\Desktop\DAF\Fichas Técnicas\FICHAS TECNICAS\FICHAS TECNICAS 2023\REGION VALPARISO\LA LIGUA\"/>
    </mc:Choice>
  </mc:AlternateContent>
  <bookViews>
    <workbookView xWindow="0" yWindow="0" windowWidth="28800" windowHeight="11475" firstSheet="2" activeTab="2"/>
  </bookViews>
  <sheets>
    <sheet name="Papa" sheetId="1" state="hidden" r:id="rId1"/>
    <sheet name="Hoja2" sheetId="2" state="hidden" r:id="rId2"/>
    <sheet name="Papa Temprana" sheetId="3" r:id="rId3"/>
  </sheets>
  <definedNames>
    <definedName name="_xlnm.Print_Area" localSheetId="0">Papa!$B$8:$G$77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5" i="3" l="1"/>
  <c r="G48" i="3"/>
  <c r="F49" i="3"/>
  <c r="G51" i="3"/>
  <c r="F52" i="3"/>
  <c r="G54" i="3"/>
  <c r="F55" i="3"/>
  <c r="G56" i="3"/>
  <c r="G57" i="3"/>
  <c r="G44" i="3"/>
  <c r="C85" i="3"/>
  <c r="C82" i="3"/>
  <c r="G53" i="3"/>
  <c r="G50" i="3"/>
  <c r="G47" i="3"/>
  <c r="G46" i="3"/>
  <c r="G39" i="3"/>
  <c r="G38" i="3"/>
  <c r="G37" i="3"/>
  <c r="G36" i="3"/>
  <c r="G35" i="3"/>
  <c r="G25" i="3"/>
  <c r="G24" i="3"/>
  <c r="G23" i="3"/>
  <c r="G22" i="3"/>
  <c r="G21" i="3"/>
  <c r="G20" i="3"/>
  <c r="G11" i="3"/>
  <c r="G68" i="3" s="1"/>
  <c r="G40" i="3" l="1"/>
  <c r="C83" i="3" s="1"/>
  <c r="G58" i="3"/>
  <c r="G26" i="3"/>
  <c r="C81" i="3" s="1"/>
  <c r="C85" i="1"/>
  <c r="C82" i="1"/>
  <c r="C84" i="3" l="1"/>
  <c r="G65" i="3"/>
  <c r="G66" i="3" s="1"/>
  <c r="G44" i="1"/>
  <c r="C92" i="3" l="1"/>
  <c r="G67" i="3"/>
  <c r="G69" i="3" s="1"/>
  <c r="C86" i="3"/>
  <c r="C87" i="3" s="1"/>
  <c r="E92" i="3"/>
  <c r="D92" i="3"/>
  <c r="F57" i="1"/>
  <c r="F56" i="1"/>
  <c r="F54" i="1"/>
  <c r="F53" i="1"/>
  <c r="F51" i="1"/>
  <c r="F50" i="1"/>
  <c r="F48" i="1"/>
  <c r="F47" i="1"/>
  <c r="F46" i="1"/>
  <c r="F21" i="1"/>
  <c r="F22" i="1"/>
  <c r="F23" i="1"/>
  <c r="F24" i="1"/>
  <c r="F25" i="1"/>
  <c r="F20" i="1"/>
  <c r="D83" i="3" l="1"/>
  <c r="D85" i="3"/>
  <c r="D81" i="3"/>
  <c r="D84" i="3"/>
  <c r="D86" i="3"/>
  <c r="L5" i="2"/>
  <c r="M5" i="2" s="1"/>
  <c r="L6" i="2"/>
  <c r="M6" i="2" s="1"/>
  <c r="L7" i="2"/>
  <c r="M7" i="2" s="1"/>
  <c r="L8" i="2"/>
  <c r="M8" i="2" s="1"/>
  <c r="L9" i="2"/>
  <c r="M9" i="2" s="1"/>
  <c r="L10" i="2"/>
  <c r="M10" i="2" s="1"/>
  <c r="L11" i="2"/>
  <c r="M11" i="2" s="1"/>
  <c r="L12" i="2"/>
  <c r="M12" i="2" s="1"/>
  <c r="L13" i="2"/>
  <c r="M13" i="2" s="1"/>
  <c r="L14" i="2"/>
  <c r="M14" i="2" s="1"/>
  <c r="L4" i="2"/>
  <c r="M4" i="2" s="1"/>
  <c r="D87" i="3" l="1"/>
  <c r="G11" i="1"/>
  <c r="G68" i="1" s="1"/>
  <c r="G57" i="1" l="1"/>
  <c r="G56" i="1"/>
  <c r="G54" i="1"/>
  <c r="G53" i="1"/>
  <c r="G51" i="1"/>
  <c r="G50" i="1"/>
  <c r="G48" i="1"/>
  <c r="G47" i="1"/>
  <c r="G46" i="1"/>
  <c r="G58" i="1" s="1"/>
  <c r="C84" i="1" s="1"/>
  <c r="G39" i="1"/>
  <c r="G38" i="1"/>
  <c r="G37" i="1"/>
  <c r="G36" i="1"/>
  <c r="G35" i="1"/>
  <c r="G25" i="1"/>
  <c r="G24" i="1"/>
  <c r="G23" i="1"/>
  <c r="G22" i="1"/>
  <c r="G21" i="1"/>
  <c r="G20" i="1"/>
  <c r="G26" i="1" l="1"/>
  <c r="C81" i="1" s="1"/>
  <c r="G40" i="1"/>
  <c r="C83" i="1" s="1"/>
  <c r="G65" i="1" l="1"/>
  <c r="G66" i="1" s="1"/>
  <c r="C86" i="1" s="1"/>
  <c r="D92" i="1" l="1"/>
  <c r="C92" i="1"/>
  <c r="E92" i="1"/>
  <c r="G67" i="1"/>
  <c r="G69" i="1" s="1"/>
  <c r="C87" i="1"/>
  <c r="D81" i="1" l="1"/>
  <c r="D85" i="1"/>
  <c r="D84" i="1"/>
  <c r="D83" i="1"/>
  <c r="D86" i="1"/>
  <c r="D87" i="1" l="1"/>
</calcChain>
</file>

<file path=xl/sharedStrings.xml><?xml version="1.0" encoding="utf-8"?>
<sst xmlns="http://schemas.openxmlformats.org/spreadsheetml/2006/main" count="354" uniqueCount="119">
  <si>
    <t>RUBRO O CULTIVO</t>
  </si>
  <si>
    <t>PAPA Temprana</t>
  </si>
  <si>
    <t>RENDIMIENTO (kg/ha)</t>
  </si>
  <si>
    <t>VARIEDAD</t>
  </si>
  <si>
    <t>FECHA ESTIMADA  PRECIO VENTA</t>
  </si>
  <si>
    <t>NIVEL TECNOLÓGICO</t>
  </si>
  <si>
    <t>MEDIO</t>
  </si>
  <si>
    <t>PRECIO ESPERADO ($/kg)</t>
  </si>
  <si>
    <t>REGIÓN</t>
  </si>
  <si>
    <t>VALPARAISO</t>
  </si>
  <si>
    <t>INGRESO ESPERADO, CON IVA ($)</t>
  </si>
  <si>
    <t>ÁREA</t>
  </si>
  <si>
    <t>LA LIGUA</t>
  </si>
  <si>
    <t>DESTINO PRODUCCIÓN</t>
  </si>
  <si>
    <t>MERCADO INTERNO</t>
  </si>
  <si>
    <t>COMUNA/LOCALIDAD</t>
  </si>
  <si>
    <t>CABILDO</t>
  </si>
  <si>
    <t>FECHA DE COSECHA</t>
  </si>
  <si>
    <t>NOVIEMBRE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</si>
  <si>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</si>
  <si>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</si>
  <si>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</si>
  <si>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</si>
  <si>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</si>
  <si>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</si>
  <si>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</si>
  <si>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 xml:space="preserve"> Precio Unitario ($) </t>
  </si>
  <si>
    <t xml:space="preserve"> Sub Total ($) </t>
  </si>
  <si>
    <t>Aporca manual</t>
  </si>
  <si>
    <t>JH</t>
  </si>
  <si>
    <t>Jul - Ago.</t>
  </si>
  <si>
    <t>Limpia manual</t>
  </si>
  <si>
    <t>Mayo - Oct.</t>
  </si>
  <si>
    <t>Riego</t>
  </si>
  <si>
    <t>Jul-Oct</t>
  </si>
  <si>
    <t>Aplicación de fertilizantes</t>
  </si>
  <si>
    <t>Jun - Oct.</t>
  </si>
  <si>
    <t>Aplicación agroquímicos</t>
  </si>
  <si>
    <t>Cosecha</t>
  </si>
  <si>
    <t>Sept. - Nov.</t>
  </si>
  <si>
    <t>Subtotal Jornadas Hombre</t>
  </si>
  <si>
    <t>JORNADAS ANIMAL</t>
  </si>
  <si>
    <t>Época (Mes)</t>
  </si>
  <si>
    <t>Subtotal Jornadas Animal</t>
  </si>
  <si>
    <t>MAQUINARIA</t>
  </si>
  <si>
    <t xml:space="preserve">Aradura </t>
  </si>
  <si>
    <t>JM</t>
  </si>
  <si>
    <t>May - junio</t>
  </si>
  <si>
    <t>Rastrajes</t>
  </si>
  <si>
    <t>Junio</t>
  </si>
  <si>
    <t>Barbecho quimico</t>
  </si>
  <si>
    <t>Siembra</t>
  </si>
  <si>
    <t>Julio</t>
  </si>
  <si>
    <t>Subtotal Costo Maquinaria</t>
  </si>
  <si>
    <t>INSUMOS</t>
  </si>
  <si>
    <t>Insumos</t>
  </si>
  <si>
    <t>Unidad (Kg/l/u)</t>
  </si>
  <si>
    <t>Cantidad (Kg/l/u)</t>
  </si>
  <si>
    <t>Fertilizantes</t>
  </si>
  <si>
    <t>Abr - mayo</t>
  </si>
  <si>
    <t>Mayo - Jun.</t>
  </si>
  <si>
    <t>Sacos (25 kg)</t>
  </si>
  <si>
    <t>Julio - Ago.</t>
  </si>
  <si>
    <t>Insecticidas</t>
  </si>
  <si>
    <t>Karate Zeon</t>
  </si>
  <si>
    <t>1 Lt.</t>
  </si>
  <si>
    <t>Engeo</t>
  </si>
  <si>
    <t>Lt.</t>
  </si>
  <si>
    <t>Fungicidas</t>
  </si>
  <si>
    <t>Otros</t>
  </si>
  <si>
    <t>Semilla</t>
  </si>
  <si>
    <t>Sacos</t>
  </si>
  <si>
    <t>Envases</t>
  </si>
  <si>
    <t>Sept. - Oct.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</si>
  <si>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</si>
  <si>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</si>
  <si>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</si>
  <si>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</si>
  <si>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</si>
  <si>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</si>
  <si>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</si>
  <si>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</si>
  <si>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</si>
  <si>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Fuente: INDAP</t>
  </si>
  <si>
    <t>Notas:</t>
  </si>
  <si>
    <t>1. Precios de insumos y productos se expresan con IVA.</t>
  </si>
  <si>
    <t>2.  Precio de Insumos corresponde a  precios  en distribuidor local</t>
  </si>
  <si>
    <t xml:space="preserve">3. Precio esperado por ventas corresponde a precio colocado en el domicilio del comprador, inc. Ingreso a Feria </t>
  </si>
  <si>
    <t>4. Los insumos aplicados (tipo y dosis) están referidos al  Área en particular</t>
  </si>
  <si>
    <t>5. El costo de la maquinaria incluye costo del operador, combustible y  arriendo de la maquinaria propiamente tal</t>
  </si>
  <si>
    <t>6. El  costo de la mano de obra incluye impuestos e  imposiciones</t>
  </si>
  <si>
    <t>Sacos (25)</t>
  </si>
  <si>
    <t>Sulfato de potasio</t>
  </si>
  <si>
    <t>Amintek</t>
  </si>
  <si>
    <t>Infinito</t>
  </si>
  <si>
    <t>5 lts</t>
  </si>
  <si>
    <t>Mancozeb 80% WP)</t>
  </si>
  <si>
    <t>Aplicación fitosanitaria, foliar</t>
  </si>
  <si>
    <t>Fosfato monoamonico</t>
  </si>
  <si>
    <t>ROSARA/PUKARÁ</t>
  </si>
  <si>
    <t>GRAVE SEQUÍA</t>
  </si>
  <si>
    <t>Todo el año</t>
  </si>
  <si>
    <t>Compra de agua</t>
  </si>
  <si>
    <t>m³</t>
  </si>
  <si>
    <t>Diciembre-Mayo</t>
  </si>
  <si>
    <t xml:space="preserve"> </t>
  </si>
  <si>
    <t>COMPOSICION COSTOS DE PRODUCCION</t>
  </si>
  <si>
    <t>$/hà</t>
  </si>
  <si>
    <t>%</t>
  </si>
  <si>
    <t>Mano de obra</t>
  </si>
  <si>
    <t>Jornada Animal</t>
  </si>
  <si>
    <t>Maquinaria</t>
  </si>
  <si>
    <t>Imprevistos</t>
  </si>
  <si>
    <t>COSTO TOTAL/hà.</t>
  </si>
  <si>
    <t>ESCENARIOS COSTO UNITARIO  ($/unidades)</t>
  </si>
  <si>
    <t>(*): Este valor representa el valor mìnimo de venta del producto</t>
  </si>
  <si>
    <t>Rendimiento  (kg/hà)</t>
  </si>
  <si>
    <t>Costo unitario ($/ kg) (*)</t>
  </si>
  <si>
    <t>GRAVE SEQUÍA, HELADAS, ALZA PRECIO DE INSUMOS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</si>
</sst>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22" x14ac:knownFonts="1">
    <font>
      <sz val="11"/>
      <color theme="1"/>
      <name val="Calibri"/>
      <family val="2"/>
      <scheme val="minor"/>
    </font>
    <font>
      <b/>
      <sz val="7"/>
      <color rgb="FFFFFFFF"/>
      <name val="Calibri"/>
      <family val="2"/>
    </font>
    <font>
      <sz val="7"/>
      <color rgb="FF000000"/>
      <name val="Calibri"/>
      <family val="2"/>
    </font>
    <font>
      <sz val="11"/>
      <color theme="1"/>
      <name val="Calibri"/>
      <family val="2"/>
    </font>
    <font>
      <sz val="7"/>
      <name val="Calibri"/>
      <family val="2"/>
    </font>
    <font>
      <b/>
      <i/>
      <sz val="9"/>
      <color rgb="FFFFFFFF"/>
      <name val="Calibri"/>
      <family val="2"/>
    </font>
    <font>
      <b/>
      <i/>
      <sz val="7"/>
      <color rgb="FF000000"/>
      <name val="Calibri"/>
      <family val="2"/>
    </font>
    <font>
      <b/>
      <sz val="7"/>
      <color rgb="FF000000"/>
      <name val="Calibri"/>
      <family val="2"/>
    </font>
    <font>
      <b/>
      <sz val="7"/>
      <name val="Calibri"/>
      <family val="2"/>
    </font>
    <font>
      <sz val="9"/>
      <color indexed="8"/>
      <name val="Calibri"/>
      <family val="2"/>
    </font>
    <font>
      <sz val="7"/>
      <color indexed="8"/>
      <name val="Calibri"/>
      <family val="2"/>
    </font>
    <font>
      <b/>
      <sz val="9"/>
      <color rgb="FFFFFFFF"/>
      <name val="Calibri"/>
      <family val="2"/>
    </font>
    <font>
      <sz val="9"/>
      <color rgb="FFFFFFFF"/>
      <name val="Calibri"/>
      <family val="2"/>
    </font>
    <font>
      <sz val="9"/>
      <color rgb="FF000000"/>
      <name val="Calibri"/>
      <family val="2"/>
    </font>
    <font>
      <sz val="8"/>
      <color rgb="FFFFFFFF"/>
      <name val="Arial Narrow"/>
      <family val="2"/>
    </font>
    <font>
      <sz val="9"/>
      <color rgb="FFFFFFFF"/>
      <name val="Arial Narrow"/>
      <family val="2"/>
    </font>
    <font>
      <sz val="10"/>
      <color rgb="FF000000"/>
      <name val="Arial Narrow"/>
      <family val="2"/>
    </font>
    <font>
      <sz val="8"/>
      <color rgb="FF000000"/>
      <name val="Arial Narrow"/>
      <family val="2"/>
    </font>
    <font>
      <b/>
      <sz val="7"/>
      <color rgb="FFFEFEFE"/>
      <name val="Calibri"/>
      <family val="2"/>
    </font>
    <font>
      <sz val="11"/>
      <color rgb="FF000000"/>
      <name val="Calibri"/>
      <family val="2"/>
    </font>
    <font>
      <sz val="8"/>
      <color rgb="FFFFFFFF"/>
      <name val="Calibri"/>
      <family val="2"/>
    </font>
    <font>
      <sz val="8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4CB3B0"/>
        <bgColor auto="1"/>
      </patternFill>
    </fill>
    <fill>
      <patternFill patternType="solid">
        <fgColor rgb="FF777670"/>
        <bgColor auto="1"/>
      </patternFill>
    </fill>
    <fill>
      <patternFill patternType="solid">
        <fgColor rgb="FFFF891C"/>
        <bgColor auto="1"/>
      </patternFill>
    </fill>
    <fill>
      <patternFill patternType="solid">
        <fgColor rgb="FFFFFFFF"/>
        <bgColor auto="1"/>
      </patternFill>
    </fill>
    <fill>
      <patternFill patternType="solid">
        <fgColor rgb="FFE26B0A"/>
        <bgColor rgb="FF000000"/>
      </patternFill>
    </fill>
    <fill>
      <patternFill patternType="solid">
        <fgColor rgb="FFFEFEFE"/>
        <bgColor auto="1"/>
      </patternFill>
    </fill>
    <fill>
      <patternFill patternType="solid">
        <fgColor rgb="FFD8D8D8"/>
        <bgColor auto="1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80808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000000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000000"/>
      </bottom>
      <diagonal/>
    </border>
    <border>
      <left style="thin">
        <color rgb="FF7F7F7F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7F7F7F"/>
      </left>
      <right style="thin">
        <color rgb="FFAAAAAA"/>
      </right>
      <top style="thin">
        <color rgb="FFAAAAAA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 style="thin">
        <color rgb="FF000000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indexed="64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indexed="64"/>
      </top>
      <bottom style="thin">
        <color rgb="FF7F7F7F"/>
      </bottom>
      <diagonal/>
    </border>
    <border>
      <left style="thin">
        <color rgb="FF7F7F7F"/>
      </left>
      <right style="thin">
        <color indexed="64"/>
      </right>
      <top style="thin">
        <color indexed="64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2" fillId="0" borderId="0" xfId="0" applyFont="1" applyFill="1" applyBorder="1" applyAlignment="1">
      <alignment vertical="center"/>
    </xf>
    <xf numFmtId="3" fontId="2" fillId="0" borderId="6" xfId="0" applyNumberFormat="1" applyFont="1" applyFill="1" applyBorder="1" applyAlignment="1">
      <alignment horizontal="right" vertical="center"/>
    </xf>
    <xf numFmtId="0" fontId="3" fillId="0" borderId="0" xfId="0" applyFont="1" applyFill="1" applyBorder="1"/>
    <xf numFmtId="0" fontId="2" fillId="0" borderId="6" xfId="0" applyFont="1" applyFill="1" applyBorder="1" applyAlignment="1">
      <alignment vertical="center" wrapText="1"/>
    </xf>
    <xf numFmtId="15" fontId="2" fillId="2" borderId="6" xfId="0" applyNumberFormat="1" applyFont="1" applyFill="1" applyBorder="1" applyAlignment="1">
      <alignment horizontal="right" vertical="center"/>
    </xf>
    <xf numFmtId="3" fontId="4" fillId="0" borderId="6" xfId="0" applyNumberFormat="1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3" fontId="2" fillId="0" borderId="2" xfId="0" applyNumberFormat="1" applyFont="1" applyFill="1" applyBorder="1"/>
    <xf numFmtId="0" fontId="2" fillId="0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3" fontId="2" fillId="0" borderId="5" xfId="0" applyNumberFormat="1" applyFont="1" applyFill="1" applyBorder="1"/>
    <xf numFmtId="0" fontId="2" fillId="0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3" fontId="2" fillId="0" borderId="0" xfId="0" applyNumberFormat="1" applyFont="1" applyFill="1" applyBorder="1"/>
    <xf numFmtId="0" fontId="4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2" xfId="0" applyFont="1" applyFill="1" applyBorder="1"/>
    <xf numFmtId="3" fontId="2" fillId="0" borderId="4" xfId="0" applyNumberFormat="1" applyFont="1" applyFill="1" applyBorder="1"/>
    <xf numFmtId="0" fontId="2" fillId="0" borderId="9" xfId="0" applyFont="1" applyFill="1" applyBorder="1"/>
    <xf numFmtId="0" fontId="2" fillId="0" borderId="6" xfId="0" applyFont="1" applyFill="1" applyBorder="1"/>
    <xf numFmtId="0" fontId="2" fillId="0" borderId="6" xfId="0" applyFont="1" applyFill="1" applyBorder="1" applyAlignment="1">
      <alignment horizontal="center"/>
    </xf>
    <xf numFmtId="164" fontId="2" fillId="0" borderId="6" xfId="0" applyNumberFormat="1" applyFont="1" applyFill="1" applyBorder="1" applyAlignment="1">
      <alignment horizontal="center"/>
    </xf>
    <xf numFmtId="3" fontId="2" fillId="0" borderId="6" xfId="0" applyNumberFormat="1" applyFont="1" applyFill="1" applyBorder="1"/>
    <xf numFmtId="0" fontId="2" fillId="0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5" fontId="2" fillId="0" borderId="6" xfId="0" applyNumberFormat="1" applyFont="1" applyFill="1" applyBorder="1" applyAlignment="1">
      <alignment horizontal="center" vertical="center"/>
    </xf>
    <xf numFmtId="9" fontId="3" fillId="0" borderId="0" xfId="0" applyNumberFormat="1" applyFont="1" applyFill="1" applyBorder="1"/>
    <xf numFmtId="3" fontId="7" fillId="0" borderId="6" xfId="0" applyNumberFormat="1" applyFont="1" applyFill="1" applyBorder="1" applyAlignment="1">
      <alignment horizontal="right" vertical="center"/>
    </xf>
    <xf numFmtId="0" fontId="9" fillId="0" borderId="2" xfId="0" applyFont="1" applyBorder="1" applyAlignment="1">
      <alignment horizontal="center" vertical="center"/>
    </xf>
    <xf numFmtId="1" fontId="10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3" fontId="10" fillId="0" borderId="2" xfId="0" applyNumberFormat="1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49" fontId="11" fillId="3" borderId="11" xfId="0" applyNumberFormat="1" applyFont="1" applyFill="1" applyBorder="1" applyAlignment="1">
      <alignment vertical="center" wrapText="1"/>
    </xf>
    <xf numFmtId="49" fontId="11" fillId="5" borderId="13" xfId="0" applyNumberFormat="1" applyFont="1" applyFill="1" applyBorder="1" applyAlignment="1">
      <alignment vertical="center"/>
    </xf>
    <xf numFmtId="0" fontId="13" fillId="6" borderId="14" xfId="0" applyFont="1" applyFill="1" applyBorder="1" applyAlignment="1">
      <alignment vertical="center"/>
    </xf>
    <xf numFmtId="0" fontId="13" fillId="6" borderId="15" xfId="0" applyFont="1" applyFill="1" applyBorder="1" applyAlignment="1">
      <alignment vertical="center"/>
    </xf>
    <xf numFmtId="0" fontId="13" fillId="6" borderId="15" xfId="0" applyFont="1" applyFill="1" applyBorder="1" applyAlignment="1">
      <alignment horizontal="right" vertical="center"/>
    </xf>
    <xf numFmtId="49" fontId="11" fillId="3" borderId="12" xfId="0" applyNumberFormat="1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vertical="center"/>
    </xf>
    <xf numFmtId="49" fontId="11" fillId="5" borderId="10" xfId="0" applyNumberFormat="1" applyFont="1" applyFill="1" applyBorder="1" applyAlignment="1">
      <alignment vertical="center"/>
    </xf>
    <xf numFmtId="0" fontId="13" fillId="6" borderId="16" xfId="0" applyFont="1" applyFill="1" applyBorder="1" applyAlignment="1">
      <alignment horizontal="center" vertical="center"/>
    </xf>
    <xf numFmtId="0" fontId="13" fillId="6" borderId="17" xfId="0" applyFont="1" applyFill="1" applyBorder="1" applyAlignment="1">
      <alignment horizontal="center" vertical="center"/>
    </xf>
    <xf numFmtId="0" fontId="13" fillId="6" borderId="17" xfId="0" applyFont="1" applyFill="1" applyBorder="1" applyAlignment="1">
      <alignment vertical="center"/>
    </xf>
    <xf numFmtId="0" fontId="13" fillId="6" borderId="17" xfId="0" applyFont="1" applyFill="1" applyBorder="1" applyAlignment="1">
      <alignment horizontal="right" vertical="center"/>
    </xf>
    <xf numFmtId="49" fontId="11" fillId="3" borderId="10" xfId="0" applyNumberFormat="1" applyFont="1" applyFill="1" applyBorder="1" applyAlignment="1">
      <alignment horizontal="center" vertical="center"/>
    </xf>
    <xf numFmtId="49" fontId="11" fillId="3" borderId="10" xfId="0" applyNumberFormat="1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vertical="center"/>
    </xf>
    <xf numFmtId="0" fontId="13" fillId="6" borderId="10" xfId="0" applyFont="1" applyFill="1" applyBorder="1" applyAlignment="1">
      <alignment horizontal="center" vertical="center"/>
    </xf>
    <xf numFmtId="3" fontId="13" fillId="6" borderId="10" xfId="0" applyNumberFormat="1" applyFont="1" applyFill="1" applyBorder="1" applyAlignment="1">
      <alignment vertical="center"/>
    </xf>
    <xf numFmtId="3" fontId="13" fillId="6" borderId="10" xfId="0" applyNumberFormat="1" applyFont="1" applyFill="1" applyBorder="1" applyAlignment="1">
      <alignment horizontal="center" vertical="center"/>
    </xf>
    <xf numFmtId="49" fontId="12" fillId="3" borderId="10" xfId="0" applyNumberFormat="1" applyFont="1" applyFill="1" applyBorder="1" applyAlignment="1">
      <alignment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vertical="center"/>
    </xf>
    <xf numFmtId="3" fontId="12" fillId="3" borderId="10" xfId="0" applyNumberFormat="1" applyFont="1" applyFill="1" applyBorder="1" applyAlignment="1">
      <alignment horizontal="center" vertical="center"/>
    </xf>
    <xf numFmtId="49" fontId="11" fillId="3" borderId="13" xfId="0" applyNumberFormat="1" applyFont="1" applyFill="1" applyBorder="1" applyAlignment="1">
      <alignment horizontal="center" vertical="center"/>
    </xf>
    <xf numFmtId="49" fontId="11" fillId="3" borderId="13" xfId="0" applyNumberFormat="1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/>
    </xf>
    <xf numFmtId="49" fontId="11" fillId="3" borderId="18" xfId="0" applyNumberFormat="1" applyFont="1" applyFill="1" applyBorder="1" applyAlignment="1">
      <alignment horizontal="center" vertical="center" wrapText="1"/>
    </xf>
    <xf numFmtId="49" fontId="11" fillId="3" borderId="18" xfId="0" applyNumberFormat="1" applyFont="1" applyFill="1" applyBorder="1" applyAlignment="1">
      <alignment horizontal="right" vertical="center" wrapText="1"/>
    </xf>
    <xf numFmtId="49" fontId="15" fillId="3" borderId="2" xfId="0" applyNumberFormat="1" applyFont="1" applyFill="1" applyBorder="1" applyAlignment="1">
      <alignment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vertical="center"/>
    </xf>
    <xf numFmtId="3" fontId="15" fillId="3" borderId="2" xfId="0" applyNumberFormat="1" applyFont="1" applyFill="1" applyBorder="1" applyAlignment="1">
      <alignment horizontal="center" vertical="center"/>
    </xf>
    <xf numFmtId="49" fontId="11" fillId="3" borderId="18" xfId="0" applyNumberFormat="1" applyFont="1" applyFill="1" applyBorder="1" applyAlignment="1">
      <alignment horizontal="center" vertical="center"/>
    </xf>
    <xf numFmtId="0" fontId="16" fillId="6" borderId="2" xfId="0" applyFont="1" applyFill="1" applyBorder="1" applyAlignment="1"/>
    <xf numFmtId="0" fontId="16" fillId="6" borderId="2" xfId="0" applyFont="1" applyFill="1" applyBorder="1" applyAlignment="1">
      <alignment horizontal="center"/>
    </xf>
    <xf numFmtId="49" fontId="17" fillId="6" borderId="2" xfId="0" applyNumberFormat="1" applyFont="1" applyFill="1" applyBorder="1" applyAlignment="1">
      <alignment horizontal="center"/>
    </xf>
    <xf numFmtId="3" fontId="17" fillId="6" borderId="2" xfId="0" applyNumberFormat="1" applyFont="1" applyFill="1" applyBorder="1" applyAlignment="1">
      <alignment horizontal="center"/>
    </xf>
    <xf numFmtId="49" fontId="15" fillId="3" borderId="19" xfId="0" applyNumberFormat="1" applyFont="1" applyFill="1" applyBorder="1" applyAlignment="1">
      <alignment vertical="center"/>
    </xf>
    <xf numFmtId="0" fontId="15" fillId="3" borderId="19" xfId="0" applyFont="1" applyFill="1" applyBorder="1" applyAlignment="1">
      <alignment horizontal="center" vertical="center"/>
    </xf>
    <xf numFmtId="0" fontId="15" fillId="3" borderId="19" xfId="0" applyFont="1" applyFill="1" applyBorder="1" applyAlignment="1">
      <alignment horizontal="right" vertical="center"/>
    </xf>
    <xf numFmtId="0" fontId="15" fillId="3" borderId="19" xfId="0" applyFont="1" applyFill="1" applyBorder="1" applyAlignment="1">
      <alignment vertical="center"/>
    </xf>
    <xf numFmtId="3" fontId="15" fillId="3" borderId="19" xfId="0" applyNumberFormat="1" applyFont="1" applyFill="1" applyBorder="1" applyAlignment="1">
      <alignment horizontal="center" vertical="center"/>
    </xf>
    <xf numFmtId="3" fontId="15" fillId="3" borderId="10" xfId="0" applyNumberFormat="1" applyFont="1" applyFill="1" applyBorder="1" applyAlignment="1">
      <alignment horizontal="center" vertical="center"/>
    </xf>
    <xf numFmtId="49" fontId="15" fillId="3" borderId="10" xfId="0" applyNumberFormat="1" applyFont="1" applyFill="1" applyBorder="1" applyAlignment="1">
      <alignment vertical="center"/>
    </xf>
    <xf numFmtId="49" fontId="15" fillId="3" borderId="12" xfId="0" applyNumberFormat="1" applyFont="1" applyFill="1" applyBorder="1" applyAlignment="1">
      <alignment vertical="center"/>
    </xf>
    <xf numFmtId="3" fontId="15" fillId="3" borderId="12" xfId="0" applyNumberFormat="1" applyFont="1" applyFill="1" applyBorder="1" applyAlignment="1">
      <alignment horizontal="center" vertical="center"/>
    </xf>
    <xf numFmtId="49" fontId="11" fillId="5" borderId="20" xfId="0" applyNumberFormat="1" applyFont="1" applyFill="1" applyBorder="1" applyAlignment="1">
      <alignment vertical="center"/>
    </xf>
    <xf numFmtId="0" fontId="11" fillId="5" borderId="21" xfId="0" applyFont="1" applyFill="1" applyBorder="1" applyAlignment="1">
      <alignment vertical="center"/>
    </xf>
    <xf numFmtId="165" fontId="11" fillId="5" borderId="22" xfId="0" applyNumberFormat="1" applyFont="1" applyFill="1" applyBorder="1" applyAlignment="1">
      <alignment vertical="center"/>
    </xf>
    <xf numFmtId="49" fontId="11" fillId="3" borderId="23" xfId="0" applyNumberFormat="1" applyFont="1" applyFill="1" applyBorder="1" applyAlignment="1">
      <alignment vertical="center"/>
    </xf>
    <xf numFmtId="0" fontId="11" fillId="3" borderId="10" xfId="0" applyFont="1" applyFill="1" applyBorder="1" applyAlignment="1">
      <alignment vertical="center"/>
    </xf>
    <xf numFmtId="165" fontId="11" fillId="3" borderId="24" xfId="0" applyNumberFormat="1" applyFont="1" applyFill="1" applyBorder="1" applyAlignment="1">
      <alignment vertical="center"/>
    </xf>
    <xf numFmtId="49" fontId="11" fillId="5" borderId="23" xfId="0" applyNumberFormat="1" applyFont="1" applyFill="1" applyBorder="1" applyAlignment="1">
      <alignment vertical="center"/>
    </xf>
    <xf numFmtId="0" fontId="11" fillId="5" borderId="10" xfId="0" applyFont="1" applyFill="1" applyBorder="1" applyAlignment="1">
      <alignment vertical="center"/>
    </xf>
    <xf numFmtId="165" fontId="11" fillId="5" borderId="24" xfId="0" applyNumberFormat="1" applyFont="1" applyFill="1" applyBorder="1" applyAlignment="1">
      <alignment vertical="center"/>
    </xf>
    <xf numFmtId="49" fontId="1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0" fontId="2" fillId="7" borderId="29" xfId="0" applyFont="1" applyFill="1" applyBorder="1" applyAlignment="1"/>
    <xf numFmtId="0" fontId="2" fillId="8" borderId="0" xfId="0" applyFont="1" applyFill="1" applyBorder="1" applyAlignment="1"/>
    <xf numFmtId="49" fontId="7" fillId="9" borderId="30" xfId="0" applyNumberFormat="1" applyFont="1" applyFill="1" applyBorder="1" applyAlignment="1">
      <alignment vertical="center"/>
    </xf>
    <xf numFmtId="49" fontId="7" fillId="9" borderId="31" xfId="0" applyNumberFormat="1" applyFont="1" applyFill="1" applyBorder="1" applyAlignment="1">
      <alignment horizontal="center" vertical="center"/>
    </xf>
    <xf numFmtId="49" fontId="2" fillId="9" borderId="32" xfId="0" applyNumberFormat="1" applyFont="1" applyFill="1" applyBorder="1" applyAlignment="1">
      <alignment horizontal="center"/>
    </xf>
    <xf numFmtId="49" fontId="7" fillId="6" borderId="33" xfId="0" applyNumberFormat="1" applyFont="1" applyFill="1" applyBorder="1" applyAlignment="1">
      <alignment vertical="center"/>
    </xf>
    <xf numFmtId="3" fontId="7" fillId="6" borderId="12" xfId="0" applyNumberFormat="1" applyFont="1" applyFill="1" applyBorder="1" applyAlignment="1">
      <alignment vertical="center"/>
    </xf>
    <xf numFmtId="9" fontId="2" fillId="6" borderId="34" xfId="0" applyNumberFormat="1" applyFont="1" applyFill="1" applyBorder="1" applyAlignment="1"/>
    <xf numFmtId="166" fontId="7" fillId="6" borderId="12" xfId="0" applyNumberFormat="1" applyFont="1" applyFill="1" applyBorder="1" applyAlignment="1">
      <alignment vertical="center"/>
    </xf>
    <xf numFmtId="0" fontId="1" fillId="8" borderId="0" xfId="0" applyFont="1" applyFill="1" applyBorder="1" applyAlignment="1">
      <alignment vertical="center"/>
    </xf>
    <xf numFmtId="49" fontId="7" fillId="9" borderId="35" xfId="0" applyNumberFormat="1" applyFont="1" applyFill="1" applyBorder="1" applyAlignment="1">
      <alignment vertical="center"/>
    </xf>
    <xf numFmtId="166" fontId="7" fillId="9" borderId="36" xfId="0" applyNumberFormat="1" applyFont="1" applyFill="1" applyBorder="1" applyAlignment="1">
      <alignment vertical="center"/>
    </xf>
    <xf numFmtId="9" fontId="7" fillId="9" borderId="37" xfId="0" applyNumberFormat="1" applyFont="1" applyFill="1" applyBorder="1" applyAlignment="1">
      <alignment vertical="center"/>
    </xf>
    <xf numFmtId="0" fontId="19" fillId="6" borderId="0" xfId="0" applyFont="1" applyFill="1" applyBorder="1" applyAlignment="1">
      <alignment vertical="center"/>
    </xf>
    <xf numFmtId="0" fontId="1" fillId="6" borderId="0" xfId="0" applyFont="1" applyFill="1" applyBorder="1" applyAlignment="1">
      <alignment vertical="center"/>
    </xf>
    <xf numFmtId="0" fontId="20" fillId="6" borderId="0" xfId="0" applyFont="1" applyFill="1" applyBorder="1" applyAlignment="1">
      <alignment vertical="center"/>
    </xf>
    <xf numFmtId="49" fontId="7" fillId="9" borderId="41" xfId="0" applyNumberFormat="1" applyFont="1" applyFill="1" applyBorder="1" applyAlignment="1">
      <alignment vertical="center"/>
    </xf>
    <xf numFmtId="3" fontId="7" fillId="9" borderId="42" xfId="0" applyNumberFormat="1" applyFont="1" applyFill="1" applyBorder="1" applyAlignment="1">
      <alignment vertical="center"/>
    </xf>
    <xf numFmtId="166" fontId="7" fillId="9" borderId="37" xfId="0" applyNumberFormat="1" applyFont="1" applyFill="1" applyBorder="1" applyAlignment="1">
      <alignment vertical="center"/>
    </xf>
    <xf numFmtId="49" fontId="2" fillId="6" borderId="0" xfId="0" applyNumberFormat="1" applyFont="1" applyFill="1" applyBorder="1" applyAlignment="1">
      <alignment vertical="center"/>
    </xf>
    <xf numFmtId="0" fontId="2" fillId="6" borderId="0" xfId="0" applyFont="1" applyFill="1" applyBorder="1" applyAlignment="1"/>
    <xf numFmtId="0" fontId="2" fillId="0" borderId="6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 wrapText="1"/>
    </xf>
    <xf numFmtId="17" fontId="2" fillId="0" borderId="6" xfId="0" applyNumberFormat="1" applyFont="1" applyFill="1" applyBorder="1" applyAlignment="1">
      <alignment horizontal="center" vertical="center"/>
    </xf>
    <xf numFmtId="9" fontId="21" fillId="0" borderId="0" xfId="0" applyNumberFormat="1" applyFont="1" applyFill="1" applyBorder="1"/>
    <xf numFmtId="49" fontId="7" fillId="10" borderId="33" xfId="0" applyNumberFormat="1" applyFont="1" applyFill="1" applyBorder="1" applyAlignment="1">
      <alignment vertical="center"/>
    </xf>
    <xf numFmtId="3" fontId="7" fillId="10" borderId="12" xfId="0" applyNumberFormat="1" applyFont="1" applyFill="1" applyBorder="1" applyAlignment="1">
      <alignment vertical="center"/>
    </xf>
    <xf numFmtId="9" fontId="2" fillId="10" borderId="34" xfId="0" applyNumberFormat="1" applyFont="1" applyFill="1" applyBorder="1" applyAlignment="1"/>
    <xf numFmtId="166" fontId="7" fillId="10" borderId="12" xfId="0" applyNumberFormat="1" applyFont="1" applyFill="1" applyBorder="1" applyAlignment="1">
      <alignment vertical="center"/>
    </xf>
    <xf numFmtId="49" fontId="7" fillId="10" borderId="35" xfId="0" applyNumberFormat="1" applyFont="1" applyFill="1" applyBorder="1" applyAlignment="1">
      <alignment vertical="center"/>
    </xf>
    <xf numFmtId="166" fontId="7" fillId="10" borderId="36" xfId="0" applyNumberFormat="1" applyFont="1" applyFill="1" applyBorder="1" applyAlignment="1">
      <alignment vertical="center"/>
    </xf>
    <xf numFmtId="9" fontId="7" fillId="10" borderId="37" xfId="0" applyNumberFormat="1" applyFont="1" applyFill="1" applyBorder="1" applyAlignment="1">
      <alignment vertical="center"/>
    </xf>
    <xf numFmtId="49" fontId="18" fillId="7" borderId="27" xfId="0" applyNumberFormat="1" applyFont="1" applyFill="1" applyBorder="1" applyAlignment="1">
      <alignment vertical="center"/>
    </xf>
    <xf numFmtId="0" fontId="7" fillId="7" borderId="28" xfId="0" applyFont="1" applyFill="1" applyBorder="1" applyAlignment="1">
      <alignment vertical="center"/>
    </xf>
    <xf numFmtId="49" fontId="18" fillId="7" borderId="38" xfId="0" applyNumberFormat="1" applyFont="1" applyFill="1" applyBorder="1" applyAlignment="1">
      <alignment horizontal="center" vertical="center"/>
    </xf>
    <xf numFmtId="49" fontId="18" fillId="7" borderId="39" xfId="0" applyNumberFormat="1" applyFont="1" applyFill="1" applyBorder="1" applyAlignment="1">
      <alignment horizontal="center" vertical="center"/>
    </xf>
    <xf numFmtId="49" fontId="18" fillId="7" borderId="40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49" fontId="5" fillId="3" borderId="12" xfId="0" applyNumberFormat="1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49" fontId="12" fillId="3" borderId="12" xfId="0" applyNumberFormat="1" applyFont="1" applyFill="1" applyBorder="1" applyAlignment="1">
      <alignment wrapText="1"/>
    </xf>
    <xf numFmtId="0" fontId="12" fillId="4" borderId="12" xfId="0" applyFont="1" applyFill="1" applyBorder="1" applyAlignment="1">
      <alignment wrapText="1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49530</xdr:colOff>
      <xdr:row>6</xdr:row>
      <xdr:rowOff>77804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0"/>
          <a:ext cx="7151370" cy="1175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49530</xdr:colOff>
      <xdr:row>6</xdr:row>
      <xdr:rowOff>77804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0"/>
          <a:ext cx="715137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8:I93"/>
  <sheetViews>
    <sheetView zoomScale="110" zoomScaleNormal="110" workbookViewId="0">
      <selection activeCell="M4" sqref="M4:M14"/>
    </sheetView>
  </sheetViews>
  <sheetFormatPr baseColWidth="10" defaultColWidth="11.5703125" defaultRowHeight="15" x14ac:dyDescent="0.25"/>
  <cols>
    <col min="1" max="1" width="6.28515625" style="3" customWidth="1"/>
    <col min="2" max="2" width="25.7109375" style="3" customWidth="1"/>
    <col min="3" max="3" width="22.5703125" style="3" customWidth="1"/>
    <col min="4" max="5" width="11.5703125" style="3"/>
    <col min="6" max="6" width="15.28515625" style="3" customWidth="1"/>
    <col min="7" max="7" width="16.7109375" style="3" customWidth="1"/>
    <col min="8" max="16384" width="11.5703125" style="3"/>
  </cols>
  <sheetData>
    <row r="8" spans="2:7" ht="14.65" customHeight="1" x14ac:dyDescent="0.25">
      <c r="B8" s="47" t="s">
        <v>0</v>
      </c>
      <c r="C8" s="37" t="s">
        <v>1</v>
      </c>
      <c r="D8" s="1"/>
      <c r="E8" s="144" t="s">
        <v>2</v>
      </c>
      <c r="F8" s="145"/>
      <c r="G8" s="2">
        <v>22000</v>
      </c>
    </row>
    <row r="9" spans="2:7" x14ac:dyDescent="0.25">
      <c r="B9" s="4" t="s">
        <v>3</v>
      </c>
      <c r="C9" s="38" t="s">
        <v>99</v>
      </c>
      <c r="D9" s="1"/>
      <c r="E9" s="146" t="s">
        <v>4</v>
      </c>
      <c r="F9" s="147"/>
      <c r="G9" s="5" t="s">
        <v>101</v>
      </c>
    </row>
    <row r="10" spans="2:7" x14ac:dyDescent="0.25">
      <c r="B10" s="4" t="s">
        <v>5</v>
      </c>
      <c r="C10" s="37" t="s">
        <v>6</v>
      </c>
      <c r="D10" s="1"/>
      <c r="E10" s="148" t="s">
        <v>7</v>
      </c>
      <c r="F10" s="148" t="s">
        <v>7</v>
      </c>
      <c r="G10" s="6">
        <v>400</v>
      </c>
    </row>
    <row r="11" spans="2:7" ht="22.5" customHeight="1" x14ac:dyDescent="0.25">
      <c r="B11" s="4" t="s">
        <v>8</v>
      </c>
      <c r="C11" s="37" t="s">
        <v>9</v>
      </c>
      <c r="D11" s="1"/>
      <c r="E11" s="148" t="s">
        <v>10</v>
      </c>
      <c r="F11" s="148" t="s">
        <v>10</v>
      </c>
      <c r="G11" s="41">
        <f>+G8*G10</f>
        <v>8800000</v>
      </c>
    </row>
    <row r="12" spans="2:7" x14ac:dyDescent="0.25">
      <c r="B12" s="4" t="s">
        <v>11</v>
      </c>
      <c r="C12" s="37" t="s">
        <v>12</v>
      </c>
      <c r="D12" s="1"/>
      <c r="E12" s="148" t="s">
        <v>13</v>
      </c>
      <c r="F12" s="148" t="s">
        <v>13</v>
      </c>
      <c r="G12" s="7" t="s">
        <v>14</v>
      </c>
    </row>
    <row r="13" spans="2:7" x14ac:dyDescent="0.25">
      <c r="B13" s="4" t="s">
        <v>15</v>
      </c>
      <c r="C13" s="37" t="s">
        <v>16</v>
      </c>
      <c r="D13" s="1"/>
      <c r="E13" s="141" t="s">
        <v>17</v>
      </c>
      <c r="F13" s="141" t="s">
        <v>17</v>
      </c>
      <c r="G13" s="8" t="s">
        <v>18</v>
      </c>
    </row>
    <row r="14" spans="2:7" x14ac:dyDescent="0.25">
      <c r="B14" s="4" t="s">
        <v>19</v>
      </c>
      <c r="C14" s="39">
        <v>44602</v>
      </c>
      <c r="D14" s="1"/>
      <c r="E14" s="141" t="s">
        <v>20</v>
      </c>
      <c r="F14" s="141" t="s">
        <v>20</v>
      </c>
      <c r="G14" s="8" t="s">
        <v>100</v>
      </c>
    </row>
    <row r="15" spans="2:7" x14ac:dyDescent="0.25">
      <c r="B15" s="9"/>
      <c r="C15" s="1"/>
      <c r="D15" s="1"/>
      <c r="E15" s="1"/>
      <c r="F15" s="1"/>
      <c r="G15" s="10"/>
    </row>
    <row r="16" spans="2:7" x14ac:dyDescent="0.25">
      <c r="B16" s="142" t="s">
        <v>21</v>
      </c>
      <c r="C16" s="143"/>
      <c r="D16" s="143"/>
      <c r="E16" s="143"/>
      <c r="F16" s="143"/>
      <c r="G16" s="143"/>
    </row>
    <row r="17" spans="2:9" x14ac:dyDescent="0.25">
      <c r="B17" s="1"/>
      <c r="C17" s="11"/>
      <c r="D17" s="11"/>
      <c r="E17" s="12"/>
      <c r="F17" s="1"/>
      <c r="G17" s="1"/>
    </row>
    <row r="18" spans="2:9" x14ac:dyDescent="0.25">
      <c r="B18" s="48" t="s">
        <v>22</v>
      </c>
      <c r="C18" s="49"/>
      <c r="D18" s="50"/>
      <c r="E18" s="50"/>
      <c r="F18" s="50"/>
      <c r="G18" s="51"/>
    </row>
    <row r="19" spans="2:9" x14ac:dyDescent="0.25">
      <c r="B19" s="52" t="s">
        <v>23</v>
      </c>
      <c r="C19" s="52" t="s">
        <v>24</v>
      </c>
      <c r="D19" s="52" t="s">
        <v>25</v>
      </c>
      <c r="E19" s="52" t="s">
        <v>42</v>
      </c>
      <c r="F19" s="52" t="s">
        <v>26</v>
      </c>
      <c r="G19" s="52" t="s">
        <v>27</v>
      </c>
    </row>
    <row r="20" spans="2:9" x14ac:dyDescent="0.25">
      <c r="B20" s="30" t="s">
        <v>28</v>
      </c>
      <c r="C20" s="13" t="s">
        <v>29</v>
      </c>
      <c r="D20" s="14">
        <v>3</v>
      </c>
      <c r="E20" s="15" t="s">
        <v>30</v>
      </c>
      <c r="F20" s="16">
        <f>(20600+(20600*0.06))*1.1</f>
        <v>24019.600000000002</v>
      </c>
      <c r="G20" s="16">
        <f t="shared" ref="G20:G25" si="0">+F20*D20</f>
        <v>72058.8</v>
      </c>
      <c r="I20" s="40"/>
    </row>
    <row r="21" spans="2:9" x14ac:dyDescent="0.25">
      <c r="B21" s="30" t="s">
        <v>31</v>
      </c>
      <c r="C21" s="13" t="s">
        <v>29</v>
      </c>
      <c r="D21" s="17">
        <v>3</v>
      </c>
      <c r="E21" s="18" t="s">
        <v>32</v>
      </c>
      <c r="F21" s="16">
        <f t="shared" ref="F21:F25" si="1">(20600+(20600*0.06))*1.1</f>
        <v>24019.600000000002</v>
      </c>
      <c r="G21" s="31">
        <f t="shared" si="0"/>
        <v>72058.8</v>
      </c>
    </row>
    <row r="22" spans="2:9" x14ac:dyDescent="0.25">
      <c r="B22" s="30" t="s">
        <v>33</v>
      </c>
      <c r="C22" s="13" t="s">
        <v>29</v>
      </c>
      <c r="D22" s="14">
        <v>15</v>
      </c>
      <c r="E22" s="18" t="s">
        <v>34</v>
      </c>
      <c r="F22" s="16">
        <f t="shared" si="1"/>
        <v>24019.600000000002</v>
      </c>
      <c r="G22" s="31">
        <f t="shared" si="0"/>
        <v>360294.00000000006</v>
      </c>
    </row>
    <row r="23" spans="2:9" x14ac:dyDescent="0.25">
      <c r="B23" s="30" t="s">
        <v>35</v>
      </c>
      <c r="C23" s="13" t="s">
        <v>29</v>
      </c>
      <c r="D23" s="13">
        <v>3</v>
      </c>
      <c r="E23" s="18" t="s">
        <v>36</v>
      </c>
      <c r="F23" s="16">
        <f t="shared" si="1"/>
        <v>24019.600000000002</v>
      </c>
      <c r="G23" s="31">
        <f t="shared" si="0"/>
        <v>72058.8</v>
      </c>
    </row>
    <row r="24" spans="2:9" x14ac:dyDescent="0.25">
      <c r="B24" s="30" t="s">
        <v>37</v>
      </c>
      <c r="C24" s="13" t="s">
        <v>29</v>
      </c>
      <c r="D24" s="13">
        <v>4</v>
      </c>
      <c r="E24" s="18" t="s">
        <v>32</v>
      </c>
      <c r="F24" s="16">
        <f t="shared" si="1"/>
        <v>24019.600000000002</v>
      </c>
      <c r="G24" s="31">
        <f t="shared" si="0"/>
        <v>96078.400000000009</v>
      </c>
    </row>
    <row r="25" spans="2:9" x14ac:dyDescent="0.25">
      <c r="B25" s="30" t="s">
        <v>38</v>
      </c>
      <c r="C25" s="13" t="s">
        <v>29</v>
      </c>
      <c r="D25" s="13">
        <v>15</v>
      </c>
      <c r="E25" s="15" t="s">
        <v>39</v>
      </c>
      <c r="F25" s="16">
        <f t="shared" si="1"/>
        <v>24019.600000000002</v>
      </c>
      <c r="G25" s="31">
        <f t="shared" si="0"/>
        <v>360294.00000000006</v>
      </c>
    </row>
    <row r="26" spans="2:9" x14ac:dyDescent="0.25">
      <c r="B26" s="91" t="s">
        <v>40</v>
      </c>
      <c r="C26" s="53"/>
      <c r="D26" s="53"/>
      <c r="E26" s="53"/>
      <c r="F26" s="54"/>
      <c r="G26" s="92">
        <f>SUM(G20:G25)</f>
        <v>1032842.8000000003</v>
      </c>
    </row>
    <row r="27" spans="2:9" x14ac:dyDescent="0.25">
      <c r="B27" s="1"/>
      <c r="C27" s="1"/>
      <c r="D27" s="1"/>
      <c r="E27" s="1"/>
      <c r="F27" s="1"/>
      <c r="G27" s="1"/>
    </row>
    <row r="28" spans="2:9" x14ac:dyDescent="0.25">
      <c r="B28" s="55" t="s">
        <v>41</v>
      </c>
      <c r="C28" s="56"/>
      <c r="D28" s="57"/>
      <c r="E28" s="57"/>
      <c r="F28" s="58"/>
      <c r="G28" s="59"/>
    </row>
    <row r="29" spans="2:9" x14ac:dyDescent="0.25">
      <c r="B29" s="60" t="s">
        <v>23</v>
      </c>
      <c r="C29" s="61" t="s">
        <v>24</v>
      </c>
      <c r="D29" s="61" t="s">
        <v>25</v>
      </c>
      <c r="E29" s="60" t="s">
        <v>105</v>
      </c>
      <c r="F29" s="61" t="s">
        <v>26</v>
      </c>
      <c r="G29" s="60" t="s">
        <v>27</v>
      </c>
    </row>
    <row r="30" spans="2:9" x14ac:dyDescent="0.25">
      <c r="B30" s="62"/>
      <c r="C30" s="63" t="s">
        <v>105</v>
      </c>
      <c r="D30" s="63" t="s">
        <v>105</v>
      </c>
      <c r="E30" s="63" t="s">
        <v>105</v>
      </c>
      <c r="F30" s="64" t="s">
        <v>105</v>
      </c>
      <c r="G30" s="65"/>
    </row>
    <row r="31" spans="2:9" x14ac:dyDescent="0.25">
      <c r="B31" s="66" t="s">
        <v>43</v>
      </c>
      <c r="C31" s="67"/>
      <c r="D31" s="67"/>
      <c r="E31" s="67"/>
      <c r="F31" s="68"/>
      <c r="G31" s="69"/>
    </row>
    <row r="32" spans="2:9" x14ac:dyDescent="0.25">
      <c r="B32" s="1"/>
      <c r="C32" s="1"/>
      <c r="D32" s="1"/>
      <c r="E32" s="1"/>
      <c r="F32" s="1"/>
      <c r="G32" s="1"/>
    </row>
    <row r="33" spans="2:9" x14ac:dyDescent="0.25">
      <c r="B33" s="55" t="s">
        <v>44</v>
      </c>
      <c r="C33" s="56"/>
      <c r="D33" s="57"/>
      <c r="E33" s="57"/>
      <c r="F33" s="58"/>
      <c r="G33" s="59"/>
    </row>
    <row r="34" spans="2:9" x14ac:dyDescent="0.25">
      <c r="B34" s="70" t="s">
        <v>23</v>
      </c>
      <c r="C34" s="70" t="s">
        <v>24</v>
      </c>
      <c r="D34" s="70" t="s">
        <v>25</v>
      </c>
      <c r="E34" s="70" t="s">
        <v>42</v>
      </c>
      <c r="F34" s="71" t="s">
        <v>26</v>
      </c>
      <c r="G34" s="70" t="s">
        <v>27</v>
      </c>
    </row>
    <row r="35" spans="2:9" x14ac:dyDescent="0.25">
      <c r="B35" s="30" t="s">
        <v>45</v>
      </c>
      <c r="C35" s="14" t="s">
        <v>46</v>
      </c>
      <c r="D35" s="14">
        <v>0.41</v>
      </c>
      <c r="E35" s="15" t="s">
        <v>47</v>
      </c>
      <c r="F35" s="19">
        <v>176000</v>
      </c>
      <c r="G35" s="16">
        <f>+F35*D35</f>
        <v>72160</v>
      </c>
      <c r="I35" s="40"/>
    </row>
    <row r="36" spans="2:9" x14ac:dyDescent="0.25">
      <c r="B36" s="30" t="s">
        <v>48</v>
      </c>
      <c r="C36" s="14" t="s">
        <v>46</v>
      </c>
      <c r="D36" s="14">
        <v>0.41</v>
      </c>
      <c r="E36" s="15" t="s">
        <v>49</v>
      </c>
      <c r="F36" s="19">
        <v>176000</v>
      </c>
      <c r="G36" s="16">
        <f>+F36*D36</f>
        <v>72160</v>
      </c>
    </row>
    <row r="37" spans="2:9" x14ac:dyDescent="0.25">
      <c r="B37" s="30" t="s">
        <v>50</v>
      </c>
      <c r="C37" s="14" t="s">
        <v>46</v>
      </c>
      <c r="D37" s="14">
        <v>0.21</v>
      </c>
      <c r="E37" s="15" t="s">
        <v>49</v>
      </c>
      <c r="F37" s="19">
        <v>176000</v>
      </c>
      <c r="G37" s="16">
        <f>+F37*D37</f>
        <v>36960</v>
      </c>
    </row>
    <row r="38" spans="2:9" x14ac:dyDescent="0.25">
      <c r="B38" s="30" t="s">
        <v>51</v>
      </c>
      <c r="C38" s="14" t="s">
        <v>46</v>
      </c>
      <c r="D38" s="14">
        <v>0.69</v>
      </c>
      <c r="E38" s="15" t="s">
        <v>52</v>
      </c>
      <c r="F38" s="19">
        <v>176000</v>
      </c>
      <c r="G38" s="16">
        <f>+F38*D38</f>
        <v>121439.99999999999</v>
      </c>
    </row>
    <row r="39" spans="2:9" x14ac:dyDescent="0.25">
      <c r="B39" s="32" t="s">
        <v>97</v>
      </c>
      <c r="C39" s="20" t="s">
        <v>46</v>
      </c>
      <c r="D39" s="20">
        <v>2.5</v>
      </c>
      <c r="E39" s="21" t="s">
        <v>34</v>
      </c>
      <c r="F39" s="19">
        <v>176000</v>
      </c>
      <c r="G39" s="16">
        <f>+F39*D39</f>
        <v>440000</v>
      </c>
    </row>
    <row r="40" spans="2:9" x14ac:dyDescent="0.25">
      <c r="B40" s="90" t="s">
        <v>53</v>
      </c>
      <c r="C40" s="72"/>
      <c r="D40" s="72"/>
      <c r="E40" s="72"/>
      <c r="F40" s="72"/>
      <c r="G40" s="89">
        <f>SUM(G35:G39)</f>
        <v>742720</v>
      </c>
    </row>
    <row r="41" spans="2:9" x14ac:dyDescent="0.25">
      <c r="B41" s="22"/>
      <c r="C41" s="22"/>
      <c r="D41" s="23"/>
      <c r="E41" s="24"/>
      <c r="F41" s="25"/>
      <c r="G41" s="25"/>
    </row>
    <row r="42" spans="2:9" x14ac:dyDescent="0.25">
      <c r="B42" s="55" t="s">
        <v>54</v>
      </c>
      <c r="C42" s="56"/>
      <c r="D42" s="57"/>
      <c r="E42" s="57"/>
      <c r="F42" s="58"/>
      <c r="G42" s="59"/>
    </row>
    <row r="43" spans="2:9" ht="24" x14ac:dyDescent="0.25">
      <c r="B43" s="73" t="s">
        <v>55</v>
      </c>
      <c r="C43" s="73" t="s">
        <v>56</v>
      </c>
      <c r="D43" s="73" t="s">
        <v>57</v>
      </c>
      <c r="E43" s="73" t="s">
        <v>42</v>
      </c>
      <c r="F43" s="73" t="s">
        <v>26</v>
      </c>
      <c r="G43" s="74" t="s">
        <v>27</v>
      </c>
    </row>
    <row r="44" spans="2:9" x14ac:dyDescent="0.25">
      <c r="B44" s="46" t="s">
        <v>102</v>
      </c>
      <c r="C44" s="42" t="s">
        <v>103</v>
      </c>
      <c r="D44" s="43">
        <v>480</v>
      </c>
      <c r="E44" s="44" t="s">
        <v>104</v>
      </c>
      <c r="F44" s="45">
        <v>2000</v>
      </c>
      <c r="G44" s="45">
        <f>(D44*F44)</f>
        <v>960000</v>
      </c>
    </row>
    <row r="45" spans="2:9" x14ac:dyDescent="0.25">
      <c r="B45" s="29" t="s">
        <v>58</v>
      </c>
      <c r="C45" s="29"/>
      <c r="D45" s="29"/>
      <c r="E45" s="29"/>
      <c r="F45" s="29"/>
      <c r="G45" s="29"/>
    </row>
    <row r="46" spans="2:9" x14ac:dyDescent="0.25">
      <c r="B46" s="33" t="s">
        <v>98</v>
      </c>
      <c r="C46" s="34" t="s">
        <v>91</v>
      </c>
      <c r="D46" s="35">
        <v>28</v>
      </c>
      <c r="E46" s="34" t="s">
        <v>60</v>
      </c>
      <c r="F46" s="36">
        <f>11660*1.1</f>
        <v>12826.000000000002</v>
      </c>
      <c r="G46" s="36">
        <f>+F46*D46</f>
        <v>359128.00000000006</v>
      </c>
    </row>
    <row r="47" spans="2:9" x14ac:dyDescent="0.25">
      <c r="B47" s="33" t="s">
        <v>92</v>
      </c>
      <c r="C47" s="34" t="s">
        <v>61</v>
      </c>
      <c r="D47" s="35">
        <v>12</v>
      </c>
      <c r="E47" s="34" t="s">
        <v>60</v>
      </c>
      <c r="F47" s="36">
        <f>15900*1.1</f>
        <v>17490</v>
      </c>
      <c r="G47" s="36">
        <f t="shared" ref="G47:G57" si="2">+F47*D47</f>
        <v>209880</v>
      </c>
    </row>
    <row r="48" spans="2:9" x14ac:dyDescent="0.25">
      <c r="B48" s="33" t="s">
        <v>93</v>
      </c>
      <c r="C48" s="34" t="s">
        <v>91</v>
      </c>
      <c r="D48" s="35">
        <v>12</v>
      </c>
      <c r="E48" s="34" t="s">
        <v>62</v>
      </c>
      <c r="F48" s="36">
        <f>9540*1.1</f>
        <v>10494</v>
      </c>
      <c r="G48" s="36">
        <f t="shared" si="2"/>
        <v>125928</v>
      </c>
    </row>
    <row r="49" spans="2:9" x14ac:dyDescent="0.25">
      <c r="B49" s="28" t="s">
        <v>63</v>
      </c>
      <c r="C49" s="28"/>
      <c r="D49" s="28"/>
      <c r="E49" s="28"/>
      <c r="F49" s="28"/>
      <c r="G49" s="28"/>
    </row>
    <row r="50" spans="2:9" x14ac:dyDescent="0.25">
      <c r="B50" s="33" t="s">
        <v>64</v>
      </c>
      <c r="C50" s="34" t="s">
        <v>65</v>
      </c>
      <c r="D50" s="35">
        <v>0.6</v>
      </c>
      <c r="E50" s="34" t="s">
        <v>62</v>
      </c>
      <c r="F50" s="36">
        <f>47700*1.1</f>
        <v>52470.000000000007</v>
      </c>
      <c r="G50" s="36">
        <f t="shared" si="2"/>
        <v>31482.000000000004</v>
      </c>
    </row>
    <row r="51" spans="2:9" x14ac:dyDescent="0.25">
      <c r="B51" s="33" t="s">
        <v>66</v>
      </c>
      <c r="C51" s="34" t="s">
        <v>67</v>
      </c>
      <c r="D51" s="35">
        <v>2</v>
      </c>
      <c r="E51" s="34" t="s">
        <v>62</v>
      </c>
      <c r="F51" s="36">
        <f>103880*1.1</f>
        <v>114268.00000000001</v>
      </c>
      <c r="G51" s="36">
        <f>+F51*D51</f>
        <v>228536.00000000003</v>
      </c>
    </row>
    <row r="52" spans="2:9" x14ac:dyDescent="0.25">
      <c r="B52" s="28" t="s">
        <v>68</v>
      </c>
      <c r="C52" s="28"/>
      <c r="D52" s="28"/>
      <c r="E52" s="28"/>
      <c r="F52" s="28"/>
      <c r="G52" s="28"/>
      <c r="I52" s="40"/>
    </row>
    <row r="53" spans="2:9" x14ac:dyDescent="0.25">
      <c r="B53" s="33" t="s">
        <v>94</v>
      </c>
      <c r="C53" s="34" t="s">
        <v>95</v>
      </c>
      <c r="D53" s="35">
        <v>1</v>
      </c>
      <c r="E53" s="34" t="s">
        <v>62</v>
      </c>
      <c r="F53" s="36">
        <f>159000*1.1</f>
        <v>174900</v>
      </c>
      <c r="G53" s="36">
        <f t="shared" si="2"/>
        <v>174900</v>
      </c>
      <c r="I53" s="40"/>
    </row>
    <row r="54" spans="2:9" x14ac:dyDescent="0.25">
      <c r="B54" s="33" t="s">
        <v>96</v>
      </c>
      <c r="C54" s="34">
        <v>6</v>
      </c>
      <c r="D54" s="35">
        <v>2</v>
      </c>
      <c r="E54" s="34" t="s">
        <v>62</v>
      </c>
      <c r="F54" s="36">
        <f>8480*1.1</f>
        <v>9328</v>
      </c>
      <c r="G54" s="36">
        <f t="shared" si="2"/>
        <v>18656</v>
      </c>
    </row>
    <row r="55" spans="2:9" x14ac:dyDescent="0.25">
      <c r="B55" s="28" t="s">
        <v>69</v>
      </c>
      <c r="C55" s="28"/>
      <c r="D55" s="28"/>
      <c r="E55" s="28"/>
      <c r="F55" s="28"/>
      <c r="G55" s="28"/>
      <c r="I55" s="40"/>
    </row>
    <row r="56" spans="2:9" x14ac:dyDescent="0.25">
      <c r="B56" s="33" t="s">
        <v>70</v>
      </c>
      <c r="C56" s="34" t="s">
        <v>71</v>
      </c>
      <c r="D56" s="35">
        <v>70</v>
      </c>
      <c r="E56" s="34" t="s">
        <v>59</v>
      </c>
      <c r="F56" s="36">
        <f>23320*1.1</f>
        <v>25652.000000000004</v>
      </c>
      <c r="G56" s="36">
        <f t="shared" si="2"/>
        <v>1795640.0000000002</v>
      </c>
      <c r="I56" s="40"/>
    </row>
    <row r="57" spans="2:9" x14ac:dyDescent="0.25">
      <c r="B57" s="33" t="s">
        <v>72</v>
      </c>
      <c r="C57" s="34" t="s">
        <v>71</v>
      </c>
      <c r="D57" s="35">
        <v>1200</v>
      </c>
      <c r="E57" s="34" t="s">
        <v>73</v>
      </c>
      <c r="F57" s="36">
        <f>180*1.1</f>
        <v>198.00000000000003</v>
      </c>
      <c r="G57" s="36">
        <f t="shared" si="2"/>
        <v>237600.00000000003</v>
      </c>
    </row>
    <row r="58" spans="2:9" x14ac:dyDescent="0.25">
      <c r="B58" s="75" t="s">
        <v>74</v>
      </c>
      <c r="C58" s="76"/>
      <c r="D58" s="76"/>
      <c r="E58" s="76"/>
      <c r="F58" s="77"/>
      <c r="G58" s="78">
        <f>SUM(G44:G57)</f>
        <v>4141750</v>
      </c>
    </row>
    <row r="59" spans="2:9" x14ac:dyDescent="0.25">
      <c r="B59" s="1"/>
      <c r="C59" s="1"/>
      <c r="D59" s="1"/>
      <c r="E59" s="1"/>
      <c r="F59" s="1"/>
      <c r="G59" s="1"/>
    </row>
    <row r="60" spans="2:9" x14ac:dyDescent="0.25">
      <c r="B60" s="55" t="s">
        <v>75</v>
      </c>
      <c r="C60" s="56"/>
      <c r="D60" s="57"/>
      <c r="E60" s="57"/>
      <c r="F60" s="58"/>
      <c r="G60" s="59"/>
    </row>
    <row r="61" spans="2:9" ht="24" x14ac:dyDescent="0.25">
      <c r="B61" s="79" t="s">
        <v>76</v>
      </c>
      <c r="C61" s="73" t="s">
        <v>56</v>
      </c>
      <c r="D61" s="73" t="s">
        <v>57</v>
      </c>
      <c r="E61" s="79" t="s">
        <v>42</v>
      </c>
      <c r="F61" s="73" t="s">
        <v>26</v>
      </c>
      <c r="G61" s="79" t="s">
        <v>27</v>
      </c>
    </row>
    <row r="62" spans="2:9" x14ac:dyDescent="0.25">
      <c r="B62" s="80" t="s">
        <v>105</v>
      </c>
      <c r="C62" s="81" t="s">
        <v>105</v>
      </c>
      <c r="D62" s="81" t="s">
        <v>105</v>
      </c>
      <c r="E62" s="82" t="s">
        <v>105</v>
      </c>
      <c r="F62" s="83" t="s">
        <v>105</v>
      </c>
      <c r="G62" s="83"/>
    </row>
    <row r="63" spans="2:9" x14ac:dyDescent="0.25">
      <c r="B63" s="84" t="s">
        <v>77</v>
      </c>
      <c r="C63" s="85"/>
      <c r="D63" s="85"/>
      <c r="E63" s="86"/>
      <c r="F63" s="87"/>
      <c r="G63" s="88"/>
    </row>
    <row r="64" spans="2:9" x14ac:dyDescent="0.25">
      <c r="B64" s="1"/>
      <c r="C64" s="1"/>
      <c r="D64" s="1"/>
      <c r="E64" s="1"/>
      <c r="F64" s="1"/>
      <c r="G64" s="1"/>
    </row>
    <row r="65" spans="2:7" x14ac:dyDescent="0.25">
      <c r="B65" s="93" t="s">
        <v>78</v>
      </c>
      <c r="C65" s="94"/>
      <c r="D65" s="94"/>
      <c r="E65" s="94"/>
      <c r="F65" s="94"/>
      <c r="G65" s="95">
        <f>G58+G40+G31+G26</f>
        <v>5917312.8000000007</v>
      </c>
    </row>
    <row r="66" spans="2:7" x14ac:dyDescent="0.25">
      <c r="B66" s="96" t="s">
        <v>79</v>
      </c>
      <c r="C66" s="97"/>
      <c r="D66" s="97"/>
      <c r="E66" s="97"/>
      <c r="F66" s="97"/>
      <c r="G66" s="98">
        <f>G65*0.05</f>
        <v>295865.64000000007</v>
      </c>
    </row>
    <row r="67" spans="2:7" x14ac:dyDescent="0.25">
      <c r="B67" s="99" t="s">
        <v>80</v>
      </c>
      <c r="C67" s="100"/>
      <c r="D67" s="100"/>
      <c r="E67" s="100"/>
      <c r="F67" s="100"/>
      <c r="G67" s="101">
        <f>G66+G65</f>
        <v>6213178.4400000004</v>
      </c>
    </row>
    <row r="68" spans="2:7" x14ac:dyDescent="0.25">
      <c r="B68" s="96" t="s">
        <v>81</v>
      </c>
      <c r="C68" s="97"/>
      <c r="D68" s="97"/>
      <c r="E68" s="97"/>
      <c r="F68" s="97"/>
      <c r="G68" s="98">
        <f>G11</f>
        <v>8800000</v>
      </c>
    </row>
    <row r="69" spans="2:7" x14ac:dyDescent="0.25">
      <c r="B69" s="102" t="s">
        <v>82</v>
      </c>
      <c r="C69" s="103"/>
      <c r="D69" s="103"/>
      <c r="E69" s="103"/>
      <c r="F69" s="103"/>
      <c r="G69" s="95">
        <f>G68-G67</f>
        <v>2586821.5599999996</v>
      </c>
    </row>
    <row r="70" spans="2:7" x14ac:dyDescent="0.25">
      <c r="B70" s="26" t="s">
        <v>83</v>
      </c>
      <c r="C70" s="26"/>
      <c r="D70" s="26"/>
      <c r="E70" s="26"/>
      <c r="F70" s="26"/>
      <c r="G70" s="26"/>
    </row>
    <row r="71" spans="2:7" x14ac:dyDescent="0.25">
      <c r="B71" s="27" t="s">
        <v>84</v>
      </c>
      <c r="C71" s="26"/>
      <c r="D71" s="26"/>
      <c r="E71" s="26"/>
      <c r="F71" s="26"/>
      <c r="G71" s="26"/>
    </row>
    <row r="72" spans="2:7" x14ac:dyDescent="0.25">
      <c r="B72" s="26" t="s">
        <v>85</v>
      </c>
      <c r="C72" s="26"/>
      <c r="D72" s="26"/>
      <c r="E72" s="26"/>
      <c r="F72" s="26"/>
      <c r="G72" s="26"/>
    </row>
    <row r="73" spans="2:7" x14ac:dyDescent="0.25">
      <c r="B73" s="26" t="s">
        <v>86</v>
      </c>
      <c r="C73" s="26"/>
      <c r="D73" s="26"/>
      <c r="E73" s="26"/>
      <c r="F73" s="26"/>
      <c r="G73" s="26"/>
    </row>
    <row r="74" spans="2:7" x14ac:dyDescent="0.25">
      <c r="B74" s="26" t="s">
        <v>87</v>
      </c>
      <c r="C74" s="26"/>
      <c r="D74" s="26"/>
      <c r="E74" s="26"/>
      <c r="F74" s="26"/>
      <c r="G74" s="26"/>
    </row>
    <row r="75" spans="2:7" x14ac:dyDescent="0.25">
      <c r="B75" s="26" t="s">
        <v>88</v>
      </c>
      <c r="C75" s="26"/>
      <c r="D75" s="26"/>
      <c r="E75" s="26"/>
      <c r="F75" s="26"/>
      <c r="G75" s="26"/>
    </row>
    <row r="76" spans="2:7" x14ac:dyDescent="0.25">
      <c r="B76" s="26" t="s">
        <v>89</v>
      </c>
      <c r="C76" s="26"/>
      <c r="D76" s="26"/>
      <c r="E76" s="26"/>
      <c r="F76" s="26"/>
      <c r="G76" s="26"/>
    </row>
    <row r="77" spans="2:7" x14ac:dyDescent="0.25">
      <c r="B77" s="26" t="s">
        <v>90</v>
      </c>
      <c r="C77" s="26"/>
      <c r="D77" s="26"/>
      <c r="E77" s="26"/>
      <c r="F77" s="26"/>
      <c r="G77" s="26"/>
    </row>
    <row r="79" spans="2:7" ht="15.75" thickBot="1" x14ac:dyDescent="0.3">
      <c r="B79" s="136" t="s">
        <v>106</v>
      </c>
      <c r="C79" s="137"/>
      <c r="D79" s="104"/>
      <c r="E79" s="105"/>
    </row>
    <row r="80" spans="2:7" x14ac:dyDescent="0.25">
      <c r="B80" s="106" t="s">
        <v>76</v>
      </c>
      <c r="C80" s="107" t="s">
        <v>107</v>
      </c>
      <c r="D80" s="108" t="s">
        <v>108</v>
      </c>
      <c r="E80" s="105"/>
    </row>
    <row r="81" spans="2:5" x14ac:dyDescent="0.25">
      <c r="B81" s="109" t="s">
        <v>109</v>
      </c>
      <c r="C81" s="110">
        <f>G26</f>
        <v>1032842.8000000003</v>
      </c>
      <c r="D81" s="111">
        <f>(C81/C87)</f>
        <v>0.16623420846094358</v>
      </c>
      <c r="E81" s="105"/>
    </row>
    <row r="82" spans="2:5" x14ac:dyDescent="0.25">
      <c r="B82" s="109" t="s">
        <v>110</v>
      </c>
      <c r="C82" s="110">
        <f>G31</f>
        <v>0</v>
      </c>
      <c r="D82" s="111">
        <v>0</v>
      </c>
      <c r="E82" s="105"/>
    </row>
    <row r="83" spans="2:5" x14ac:dyDescent="0.25">
      <c r="B83" s="109" t="s">
        <v>111</v>
      </c>
      <c r="C83" s="110">
        <f>G40</f>
        <v>742720</v>
      </c>
      <c r="D83" s="111">
        <f>(C83/C87)</f>
        <v>0.11953946070797219</v>
      </c>
      <c r="E83" s="105"/>
    </row>
    <row r="84" spans="2:5" x14ac:dyDescent="0.25">
      <c r="B84" s="109" t="s">
        <v>55</v>
      </c>
      <c r="C84" s="110">
        <f>G58</f>
        <v>4141750</v>
      </c>
      <c r="D84" s="111">
        <f>(C84/C87)</f>
        <v>0.66660728321203655</v>
      </c>
      <c r="E84" s="105"/>
    </row>
    <row r="85" spans="2:5" x14ac:dyDescent="0.25">
      <c r="B85" s="109" t="s">
        <v>69</v>
      </c>
      <c r="C85" s="112">
        <f>G63</f>
        <v>0</v>
      </c>
      <c r="D85" s="111">
        <f>(C85/C87)</f>
        <v>0</v>
      </c>
      <c r="E85" s="113"/>
    </row>
    <row r="86" spans="2:5" x14ac:dyDescent="0.25">
      <c r="B86" s="109" t="s">
        <v>112</v>
      </c>
      <c r="C86" s="112">
        <f>G66</f>
        <v>295865.64000000007</v>
      </c>
      <c r="D86" s="111">
        <f>(C86/C87)</f>
        <v>4.761904761904763E-2</v>
      </c>
      <c r="E86" s="113"/>
    </row>
    <row r="87" spans="2:5" ht="15.75" thickBot="1" x14ac:dyDescent="0.3">
      <c r="B87" s="114" t="s">
        <v>113</v>
      </c>
      <c r="C87" s="115">
        <f>SUM(C81:C86)</f>
        <v>6213178.4400000004</v>
      </c>
      <c r="D87" s="116">
        <f>SUM(D81:D86)</f>
        <v>1</v>
      </c>
      <c r="E87" s="113"/>
    </row>
    <row r="88" spans="2:5" x14ac:dyDescent="0.25">
      <c r="B88" s="117"/>
      <c r="C88" s="118"/>
      <c r="D88" s="118"/>
      <c r="E88" s="118"/>
    </row>
    <row r="89" spans="2:5" ht="15.75" thickBot="1" x14ac:dyDescent="0.3">
      <c r="B89" s="119"/>
      <c r="C89" s="118"/>
      <c r="D89" s="118"/>
      <c r="E89" s="118"/>
    </row>
    <row r="90" spans="2:5" ht="15.75" thickBot="1" x14ac:dyDescent="0.3">
      <c r="B90" s="138" t="s">
        <v>114</v>
      </c>
      <c r="C90" s="139"/>
      <c r="D90" s="139"/>
      <c r="E90" s="140"/>
    </row>
    <row r="91" spans="2:5" x14ac:dyDescent="0.25">
      <c r="B91" s="120" t="s">
        <v>116</v>
      </c>
      <c r="C91" s="121">
        <v>20000</v>
      </c>
      <c r="D91" s="121">
        <v>22000</v>
      </c>
      <c r="E91" s="121">
        <v>25000</v>
      </c>
    </row>
    <row r="92" spans="2:5" ht="15.75" thickBot="1" x14ac:dyDescent="0.3">
      <c r="B92" s="114" t="s">
        <v>117</v>
      </c>
      <c r="C92" s="115">
        <f>(G66/C91)</f>
        <v>14.793282000000003</v>
      </c>
      <c r="D92" s="115">
        <f>(G66/D91)</f>
        <v>13.448438181818185</v>
      </c>
      <c r="E92" s="122">
        <f>(G66/E91)</f>
        <v>11.834625600000003</v>
      </c>
    </row>
    <row r="93" spans="2:5" x14ac:dyDescent="0.25">
      <c r="B93" s="123" t="s">
        <v>115</v>
      </c>
      <c r="C93" s="124"/>
      <c r="D93" s="124"/>
      <c r="E93" s="124"/>
    </row>
  </sheetData>
  <mergeCells count="10">
    <mergeCell ref="B79:C79"/>
    <mergeCell ref="B90:E90"/>
    <mergeCell ref="E14:F14"/>
    <mergeCell ref="B16:G16"/>
    <mergeCell ref="E8:F8"/>
    <mergeCell ref="E9:F9"/>
    <mergeCell ref="E10:F10"/>
    <mergeCell ref="E11:F11"/>
    <mergeCell ref="E12:F12"/>
    <mergeCell ref="E13:F13"/>
  </mergeCells>
  <pageMargins left="0.7" right="0.7" top="0.75" bottom="0.75" header="0.3" footer="0.3"/>
  <pageSetup paperSize="170" scale="8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4:M14"/>
  <sheetViews>
    <sheetView workbookViewId="0">
      <selection activeCell="M4" sqref="M4:M14"/>
    </sheetView>
  </sheetViews>
  <sheetFormatPr baseColWidth="10" defaultRowHeight="15" x14ac:dyDescent="0.25"/>
  <sheetData>
    <row r="4" spans="6:13" x14ac:dyDescent="0.25">
      <c r="F4">
        <v>28</v>
      </c>
      <c r="G4" t="s">
        <v>60</v>
      </c>
      <c r="H4">
        <v>11000</v>
      </c>
      <c r="I4">
        <v>308000</v>
      </c>
      <c r="J4">
        <v>6</v>
      </c>
      <c r="K4">
        <v>100</v>
      </c>
      <c r="L4">
        <f>(H4*J4)/K4</f>
        <v>660</v>
      </c>
      <c r="M4">
        <f>H4+L4</f>
        <v>11660</v>
      </c>
    </row>
    <row r="5" spans="6:13" x14ac:dyDescent="0.25">
      <c r="F5">
        <v>12</v>
      </c>
      <c r="G5" t="s">
        <v>60</v>
      </c>
      <c r="H5">
        <v>15000</v>
      </c>
      <c r="I5">
        <v>180000</v>
      </c>
      <c r="J5">
        <v>6</v>
      </c>
      <c r="K5">
        <v>100</v>
      </c>
      <c r="L5">
        <f t="shared" ref="L5:L14" si="0">(H5*J5)/K5</f>
        <v>900</v>
      </c>
      <c r="M5">
        <f t="shared" ref="M5:M14" si="1">H5+L5</f>
        <v>15900</v>
      </c>
    </row>
    <row r="6" spans="6:13" x14ac:dyDescent="0.25">
      <c r="F6">
        <v>12</v>
      </c>
      <c r="G6" t="s">
        <v>62</v>
      </c>
      <c r="H6">
        <v>9000</v>
      </c>
      <c r="I6">
        <v>108000</v>
      </c>
      <c r="J6">
        <v>6</v>
      </c>
      <c r="K6">
        <v>100</v>
      </c>
      <c r="L6">
        <f t="shared" si="0"/>
        <v>540</v>
      </c>
      <c r="M6">
        <f t="shared" si="1"/>
        <v>9540</v>
      </c>
    </row>
    <row r="7" spans="6:13" x14ac:dyDescent="0.25">
      <c r="J7">
        <v>6</v>
      </c>
      <c r="K7">
        <v>100</v>
      </c>
      <c r="L7">
        <f t="shared" si="0"/>
        <v>0</v>
      </c>
      <c r="M7">
        <f t="shared" si="1"/>
        <v>0</v>
      </c>
    </row>
    <row r="8" spans="6:13" x14ac:dyDescent="0.25">
      <c r="F8">
        <v>0.6</v>
      </c>
      <c r="G8" t="s">
        <v>62</v>
      </c>
      <c r="H8">
        <v>45000</v>
      </c>
      <c r="I8">
        <v>27000</v>
      </c>
      <c r="J8">
        <v>6</v>
      </c>
      <c r="K8">
        <v>100</v>
      </c>
      <c r="L8">
        <f t="shared" si="0"/>
        <v>2700</v>
      </c>
      <c r="M8">
        <f t="shared" si="1"/>
        <v>47700</v>
      </c>
    </row>
    <row r="9" spans="6:13" x14ac:dyDescent="0.25">
      <c r="F9">
        <v>2</v>
      </c>
      <c r="G9" t="s">
        <v>62</v>
      </c>
      <c r="H9">
        <v>98000</v>
      </c>
      <c r="I9">
        <v>196000</v>
      </c>
      <c r="J9">
        <v>6</v>
      </c>
      <c r="K9">
        <v>100</v>
      </c>
      <c r="L9">
        <f t="shared" si="0"/>
        <v>5880</v>
      </c>
      <c r="M9">
        <f t="shared" si="1"/>
        <v>103880</v>
      </c>
    </row>
    <row r="10" spans="6:13" x14ac:dyDescent="0.25">
      <c r="J10">
        <v>6</v>
      </c>
      <c r="K10">
        <v>100</v>
      </c>
      <c r="L10">
        <f t="shared" si="0"/>
        <v>0</v>
      </c>
      <c r="M10">
        <f t="shared" si="1"/>
        <v>0</v>
      </c>
    </row>
    <row r="11" spans="6:13" x14ac:dyDescent="0.25">
      <c r="F11">
        <v>1</v>
      </c>
      <c r="G11" t="s">
        <v>62</v>
      </c>
      <c r="H11">
        <v>150000</v>
      </c>
      <c r="I11">
        <v>150000</v>
      </c>
      <c r="J11">
        <v>6</v>
      </c>
      <c r="K11">
        <v>100</v>
      </c>
      <c r="L11">
        <f t="shared" si="0"/>
        <v>9000</v>
      </c>
      <c r="M11">
        <f t="shared" si="1"/>
        <v>159000</v>
      </c>
    </row>
    <row r="12" spans="6:13" x14ac:dyDescent="0.25">
      <c r="F12">
        <v>2</v>
      </c>
      <c r="G12" t="s">
        <v>62</v>
      </c>
      <c r="H12">
        <v>8000</v>
      </c>
      <c r="I12">
        <v>16000</v>
      </c>
      <c r="J12">
        <v>6</v>
      </c>
      <c r="K12">
        <v>100</v>
      </c>
      <c r="L12">
        <f t="shared" si="0"/>
        <v>480</v>
      </c>
      <c r="M12">
        <f t="shared" si="1"/>
        <v>8480</v>
      </c>
    </row>
    <row r="13" spans="6:13" x14ac:dyDescent="0.25">
      <c r="J13">
        <v>6</v>
      </c>
      <c r="K13">
        <v>100</v>
      </c>
      <c r="L13">
        <f t="shared" si="0"/>
        <v>0</v>
      </c>
      <c r="M13">
        <f t="shared" si="1"/>
        <v>0</v>
      </c>
    </row>
    <row r="14" spans="6:13" x14ac:dyDescent="0.25">
      <c r="F14">
        <v>70</v>
      </c>
      <c r="G14" t="s">
        <v>59</v>
      </c>
      <c r="H14">
        <v>22000</v>
      </c>
      <c r="I14">
        <v>1540000</v>
      </c>
      <c r="J14">
        <v>6</v>
      </c>
      <c r="K14">
        <v>100</v>
      </c>
      <c r="L14">
        <f t="shared" si="0"/>
        <v>1320</v>
      </c>
      <c r="M14">
        <f t="shared" si="1"/>
        <v>23320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I93"/>
  <sheetViews>
    <sheetView tabSelected="1" zoomScale="120" zoomScaleNormal="120" workbookViewId="0">
      <selection activeCell="K14" sqref="K14"/>
    </sheetView>
  </sheetViews>
  <sheetFormatPr baseColWidth="10" defaultColWidth="11.5703125" defaultRowHeight="15" x14ac:dyDescent="0.25"/>
  <cols>
    <col min="1" max="1" width="6.28515625" style="3" customWidth="1"/>
    <col min="2" max="2" width="25.7109375" style="3" customWidth="1"/>
    <col min="3" max="3" width="22.5703125" style="3" customWidth="1"/>
    <col min="4" max="5" width="11.5703125" style="3"/>
    <col min="6" max="6" width="15.28515625" style="3" customWidth="1"/>
    <col min="7" max="7" width="16.7109375" style="3" customWidth="1"/>
    <col min="8" max="16384" width="11.5703125" style="3"/>
  </cols>
  <sheetData>
    <row r="8" spans="2:7" ht="14.65" customHeight="1" x14ac:dyDescent="0.25">
      <c r="B8" s="47" t="s">
        <v>0</v>
      </c>
      <c r="C8" s="37" t="s">
        <v>1</v>
      </c>
      <c r="D8" s="1"/>
      <c r="E8" s="144" t="s">
        <v>2</v>
      </c>
      <c r="F8" s="145"/>
      <c r="G8" s="2">
        <v>22000</v>
      </c>
    </row>
    <row r="9" spans="2:7" x14ac:dyDescent="0.25">
      <c r="B9" s="126" t="s">
        <v>3</v>
      </c>
      <c r="C9" s="38" t="s">
        <v>99</v>
      </c>
      <c r="D9" s="1"/>
      <c r="E9" s="146" t="s">
        <v>4</v>
      </c>
      <c r="F9" s="147"/>
      <c r="G9" s="5" t="s">
        <v>101</v>
      </c>
    </row>
    <row r="10" spans="2:7" x14ac:dyDescent="0.25">
      <c r="B10" s="126" t="s">
        <v>5</v>
      </c>
      <c r="C10" s="37" t="s">
        <v>6</v>
      </c>
      <c r="D10" s="1"/>
      <c r="E10" s="148" t="s">
        <v>7</v>
      </c>
      <c r="F10" s="148" t="s">
        <v>7</v>
      </c>
      <c r="G10" s="6">
        <v>440</v>
      </c>
    </row>
    <row r="11" spans="2:7" ht="22.5" customHeight="1" x14ac:dyDescent="0.25">
      <c r="B11" s="126" t="s">
        <v>8</v>
      </c>
      <c r="C11" s="37" t="s">
        <v>9</v>
      </c>
      <c r="D11" s="1"/>
      <c r="E11" s="148" t="s">
        <v>10</v>
      </c>
      <c r="F11" s="148" t="s">
        <v>10</v>
      </c>
      <c r="G11" s="41">
        <f>+G8*G10</f>
        <v>9680000</v>
      </c>
    </row>
    <row r="12" spans="2:7" x14ac:dyDescent="0.25">
      <c r="B12" s="126" t="s">
        <v>11</v>
      </c>
      <c r="C12" s="37" t="s">
        <v>12</v>
      </c>
      <c r="D12" s="1"/>
      <c r="E12" s="148" t="s">
        <v>13</v>
      </c>
      <c r="F12" s="148" t="s">
        <v>13</v>
      </c>
      <c r="G12" s="7" t="s">
        <v>14</v>
      </c>
    </row>
    <row r="13" spans="2:7" x14ac:dyDescent="0.25">
      <c r="B13" s="126" t="s">
        <v>15</v>
      </c>
      <c r="C13" s="37" t="s">
        <v>16</v>
      </c>
      <c r="D13" s="1"/>
      <c r="E13" s="141" t="s">
        <v>17</v>
      </c>
      <c r="F13" s="141" t="s">
        <v>17</v>
      </c>
      <c r="G13" s="8" t="s">
        <v>18</v>
      </c>
    </row>
    <row r="14" spans="2:7" ht="27" x14ac:dyDescent="0.25">
      <c r="B14" s="126" t="s">
        <v>19</v>
      </c>
      <c r="C14" s="127">
        <v>45017</v>
      </c>
      <c r="D14" s="1"/>
      <c r="E14" s="141" t="s">
        <v>20</v>
      </c>
      <c r="F14" s="141" t="s">
        <v>20</v>
      </c>
      <c r="G14" s="8" t="s">
        <v>118</v>
      </c>
    </row>
    <row r="15" spans="2:7" x14ac:dyDescent="0.25">
      <c r="B15" s="9"/>
      <c r="C15" s="1"/>
      <c r="D15" s="1"/>
      <c r="E15" s="1"/>
      <c r="F15" s="1"/>
      <c r="G15" s="10"/>
    </row>
    <row r="16" spans="2:7" x14ac:dyDescent="0.25">
      <c r="B16" s="142" t="s">
        <v>21</v>
      </c>
      <c r="C16" s="143"/>
      <c r="D16" s="143"/>
      <c r="E16" s="143"/>
      <c r="F16" s="143"/>
      <c r="G16" s="143"/>
    </row>
    <row r="17" spans="2:9" x14ac:dyDescent="0.25">
      <c r="B17" s="1"/>
      <c r="C17" s="11"/>
      <c r="D17" s="11"/>
      <c r="E17" s="12"/>
      <c r="F17" s="1"/>
      <c r="G17" s="1"/>
    </row>
    <row r="18" spans="2:9" x14ac:dyDescent="0.25">
      <c r="B18" s="48" t="s">
        <v>22</v>
      </c>
      <c r="C18" s="49"/>
      <c r="D18" s="50"/>
      <c r="E18" s="50"/>
      <c r="F18" s="50"/>
      <c r="G18" s="51"/>
    </row>
    <row r="19" spans="2:9" x14ac:dyDescent="0.25">
      <c r="B19" s="52" t="s">
        <v>23</v>
      </c>
      <c r="C19" s="52" t="s">
        <v>24</v>
      </c>
      <c r="D19" s="52" t="s">
        <v>25</v>
      </c>
      <c r="E19" s="52" t="s">
        <v>42</v>
      </c>
      <c r="F19" s="52" t="s">
        <v>26</v>
      </c>
      <c r="G19" s="52" t="s">
        <v>27</v>
      </c>
    </row>
    <row r="20" spans="2:9" x14ac:dyDescent="0.25">
      <c r="B20" s="30" t="s">
        <v>28</v>
      </c>
      <c r="C20" s="13" t="s">
        <v>29</v>
      </c>
      <c r="D20" s="14">
        <v>3</v>
      </c>
      <c r="E20" s="15" t="s">
        <v>30</v>
      </c>
      <c r="F20" s="16">
        <v>32500</v>
      </c>
      <c r="G20" s="16">
        <f t="shared" ref="G20:G25" si="0">+F20*D20</f>
        <v>97500</v>
      </c>
      <c r="H20" s="128"/>
      <c r="I20" s="40"/>
    </row>
    <row r="21" spans="2:9" x14ac:dyDescent="0.25">
      <c r="B21" s="30" t="s">
        <v>31</v>
      </c>
      <c r="C21" s="13" t="s">
        <v>29</v>
      </c>
      <c r="D21" s="17">
        <v>3</v>
      </c>
      <c r="E21" s="18" t="s">
        <v>32</v>
      </c>
      <c r="F21" s="16">
        <v>32500</v>
      </c>
      <c r="G21" s="31">
        <f t="shared" si="0"/>
        <v>97500</v>
      </c>
    </row>
    <row r="22" spans="2:9" x14ac:dyDescent="0.25">
      <c r="B22" s="30" t="s">
        <v>33</v>
      </c>
      <c r="C22" s="13" t="s">
        <v>29</v>
      </c>
      <c r="D22" s="14">
        <v>15</v>
      </c>
      <c r="E22" s="18" t="s">
        <v>34</v>
      </c>
      <c r="F22" s="16">
        <v>32500</v>
      </c>
      <c r="G22" s="31">
        <f t="shared" si="0"/>
        <v>487500</v>
      </c>
    </row>
    <row r="23" spans="2:9" x14ac:dyDescent="0.25">
      <c r="B23" s="30" t="s">
        <v>35</v>
      </c>
      <c r="C23" s="13" t="s">
        <v>29</v>
      </c>
      <c r="D23" s="13">
        <v>3</v>
      </c>
      <c r="E23" s="18" t="s">
        <v>36</v>
      </c>
      <c r="F23" s="16">
        <v>32500</v>
      </c>
      <c r="G23" s="31">
        <f t="shared" si="0"/>
        <v>97500</v>
      </c>
    </row>
    <row r="24" spans="2:9" x14ac:dyDescent="0.25">
      <c r="B24" s="30" t="s">
        <v>37</v>
      </c>
      <c r="C24" s="13" t="s">
        <v>29</v>
      </c>
      <c r="D24" s="13">
        <v>4</v>
      </c>
      <c r="E24" s="18" t="s">
        <v>32</v>
      </c>
      <c r="F24" s="16">
        <v>32500</v>
      </c>
      <c r="G24" s="31">
        <f t="shared" si="0"/>
        <v>130000</v>
      </c>
    </row>
    <row r="25" spans="2:9" x14ac:dyDescent="0.25">
      <c r="B25" s="30" t="s">
        <v>38</v>
      </c>
      <c r="C25" s="13" t="s">
        <v>29</v>
      </c>
      <c r="D25" s="13">
        <v>15</v>
      </c>
      <c r="E25" s="15" t="s">
        <v>39</v>
      </c>
      <c r="F25" s="16">
        <v>32500</v>
      </c>
      <c r="G25" s="31">
        <f t="shared" si="0"/>
        <v>487500</v>
      </c>
    </row>
    <row r="26" spans="2:9" x14ac:dyDescent="0.25">
      <c r="B26" s="91" t="s">
        <v>40</v>
      </c>
      <c r="C26" s="53"/>
      <c r="D26" s="53"/>
      <c r="E26" s="53"/>
      <c r="F26" s="54"/>
      <c r="G26" s="92">
        <f>SUM(G20:G25)</f>
        <v>1397500</v>
      </c>
    </row>
    <row r="27" spans="2:9" x14ac:dyDescent="0.25">
      <c r="B27" s="1"/>
      <c r="C27" s="1"/>
      <c r="D27" s="1"/>
      <c r="E27" s="1"/>
      <c r="F27" s="1"/>
      <c r="G27" s="1"/>
    </row>
    <row r="28" spans="2:9" x14ac:dyDescent="0.25">
      <c r="B28" s="55" t="s">
        <v>41</v>
      </c>
      <c r="C28" s="56"/>
      <c r="D28" s="57"/>
      <c r="E28" s="57"/>
      <c r="F28" s="58"/>
      <c r="G28" s="59"/>
    </row>
    <row r="29" spans="2:9" x14ac:dyDescent="0.25">
      <c r="B29" s="60" t="s">
        <v>23</v>
      </c>
      <c r="C29" s="61" t="s">
        <v>24</v>
      </c>
      <c r="D29" s="61" t="s">
        <v>25</v>
      </c>
      <c r="E29" s="60" t="s">
        <v>105</v>
      </c>
      <c r="F29" s="61" t="s">
        <v>26</v>
      </c>
      <c r="G29" s="60" t="s">
        <v>27</v>
      </c>
    </row>
    <row r="30" spans="2:9" x14ac:dyDescent="0.25">
      <c r="B30" s="62"/>
      <c r="C30" s="63" t="s">
        <v>105</v>
      </c>
      <c r="D30" s="63" t="s">
        <v>105</v>
      </c>
      <c r="E30" s="63" t="s">
        <v>105</v>
      </c>
      <c r="F30" s="64" t="s">
        <v>105</v>
      </c>
      <c r="G30" s="65"/>
    </row>
    <row r="31" spans="2:9" x14ac:dyDescent="0.25">
      <c r="B31" s="66" t="s">
        <v>43</v>
      </c>
      <c r="C31" s="67"/>
      <c r="D31" s="67"/>
      <c r="E31" s="67"/>
      <c r="F31" s="68"/>
      <c r="G31" s="69"/>
    </row>
    <row r="32" spans="2:9" x14ac:dyDescent="0.25">
      <c r="B32" s="1"/>
      <c r="C32" s="1"/>
      <c r="D32" s="1"/>
      <c r="E32" s="1"/>
      <c r="F32" s="1"/>
      <c r="G32" s="1"/>
    </row>
    <row r="33" spans="2:9" x14ac:dyDescent="0.25">
      <c r="B33" s="55" t="s">
        <v>44</v>
      </c>
      <c r="C33" s="56"/>
      <c r="D33" s="57"/>
      <c r="E33" s="57"/>
      <c r="F33" s="58"/>
      <c r="G33" s="59"/>
    </row>
    <row r="34" spans="2:9" x14ac:dyDescent="0.25">
      <c r="B34" s="70" t="s">
        <v>23</v>
      </c>
      <c r="C34" s="70" t="s">
        <v>24</v>
      </c>
      <c r="D34" s="70" t="s">
        <v>25</v>
      </c>
      <c r="E34" s="70" t="s">
        <v>42</v>
      </c>
      <c r="F34" s="71" t="s">
        <v>26</v>
      </c>
      <c r="G34" s="70" t="s">
        <v>27</v>
      </c>
    </row>
    <row r="35" spans="2:9" x14ac:dyDescent="0.25">
      <c r="B35" s="30" t="s">
        <v>45</v>
      </c>
      <c r="C35" s="14" t="s">
        <v>46</v>
      </c>
      <c r="D35" s="14">
        <v>0.41</v>
      </c>
      <c r="E35" s="15" t="s">
        <v>47</v>
      </c>
      <c r="F35" s="19">
        <v>225000</v>
      </c>
      <c r="G35" s="16">
        <f>+F35*D35</f>
        <v>92250</v>
      </c>
      <c r="I35" s="40"/>
    </row>
    <row r="36" spans="2:9" x14ac:dyDescent="0.25">
      <c r="B36" s="30" t="s">
        <v>48</v>
      </c>
      <c r="C36" s="14" t="s">
        <v>46</v>
      </c>
      <c r="D36" s="14">
        <v>0.41</v>
      </c>
      <c r="E36" s="15" t="s">
        <v>49</v>
      </c>
      <c r="F36" s="19">
        <v>225000</v>
      </c>
      <c r="G36" s="16">
        <f>+F36*D36</f>
        <v>92250</v>
      </c>
    </row>
    <row r="37" spans="2:9" x14ac:dyDescent="0.25">
      <c r="B37" s="30" t="s">
        <v>50</v>
      </c>
      <c r="C37" s="14" t="s">
        <v>46</v>
      </c>
      <c r="D37" s="14">
        <v>0.21</v>
      </c>
      <c r="E37" s="15" t="s">
        <v>49</v>
      </c>
      <c r="F37" s="19">
        <v>225000</v>
      </c>
      <c r="G37" s="16">
        <f>+F37*D37</f>
        <v>47250</v>
      </c>
    </row>
    <row r="38" spans="2:9" x14ac:dyDescent="0.25">
      <c r="B38" s="30" t="s">
        <v>51</v>
      </c>
      <c r="C38" s="14" t="s">
        <v>46</v>
      </c>
      <c r="D38" s="14">
        <v>0.69</v>
      </c>
      <c r="E38" s="15" t="s">
        <v>52</v>
      </c>
      <c r="F38" s="19">
        <v>225000</v>
      </c>
      <c r="G38" s="16">
        <f>+F38*D38</f>
        <v>155250</v>
      </c>
    </row>
    <row r="39" spans="2:9" x14ac:dyDescent="0.25">
      <c r="B39" s="32" t="s">
        <v>97</v>
      </c>
      <c r="C39" s="20" t="s">
        <v>46</v>
      </c>
      <c r="D39" s="20">
        <v>2.5</v>
      </c>
      <c r="E39" s="21" t="s">
        <v>34</v>
      </c>
      <c r="F39" s="19">
        <v>225000</v>
      </c>
      <c r="G39" s="16">
        <f>+F39*D39</f>
        <v>562500</v>
      </c>
    </row>
    <row r="40" spans="2:9" x14ac:dyDescent="0.25">
      <c r="B40" s="90" t="s">
        <v>53</v>
      </c>
      <c r="C40" s="72"/>
      <c r="D40" s="72"/>
      <c r="E40" s="72"/>
      <c r="F40" s="72"/>
      <c r="G40" s="89">
        <f>SUM(G35:G39)</f>
        <v>949500</v>
      </c>
    </row>
    <row r="41" spans="2:9" x14ac:dyDescent="0.25">
      <c r="B41" s="22"/>
      <c r="C41" s="22"/>
      <c r="D41" s="23"/>
      <c r="E41" s="24"/>
      <c r="F41" s="25"/>
      <c r="G41" s="25"/>
    </row>
    <row r="42" spans="2:9" x14ac:dyDescent="0.25">
      <c r="B42" s="55" t="s">
        <v>54</v>
      </c>
      <c r="C42" s="56"/>
      <c r="D42" s="57"/>
      <c r="E42" s="57"/>
      <c r="F42" s="58"/>
      <c r="G42" s="59"/>
    </row>
    <row r="43" spans="2:9" ht="24" x14ac:dyDescent="0.25">
      <c r="B43" s="73" t="s">
        <v>55</v>
      </c>
      <c r="C43" s="73" t="s">
        <v>56</v>
      </c>
      <c r="D43" s="73" t="s">
        <v>57</v>
      </c>
      <c r="E43" s="73" t="s">
        <v>42</v>
      </c>
      <c r="F43" s="73" t="s">
        <v>26</v>
      </c>
      <c r="G43" s="74" t="s">
        <v>27</v>
      </c>
    </row>
    <row r="44" spans="2:9" x14ac:dyDescent="0.25">
      <c r="B44" s="46" t="s">
        <v>102</v>
      </c>
      <c r="C44" s="42" t="s">
        <v>103</v>
      </c>
      <c r="D44" s="43">
        <v>480</v>
      </c>
      <c r="E44" s="44" t="s">
        <v>104</v>
      </c>
      <c r="F44" s="45">
        <v>2613</v>
      </c>
      <c r="G44" s="45">
        <f>(D44*F44)</f>
        <v>1254240</v>
      </c>
    </row>
    <row r="45" spans="2:9" x14ac:dyDescent="0.25">
      <c r="B45" s="125" t="s">
        <v>58</v>
      </c>
      <c r="C45" s="125"/>
      <c r="D45" s="125"/>
      <c r="E45" s="125"/>
      <c r="F45" s="45">
        <f>Papa!F45*'Papa Temprana'!$I$44</f>
        <v>0</v>
      </c>
      <c r="G45" s="125"/>
    </row>
    <row r="46" spans="2:9" x14ac:dyDescent="0.25">
      <c r="B46" s="33" t="s">
        <v>98</v>
      </c>
      <c r="C46" s="34" t="s">
        <v>91</v>
      </c>
      <c r="D46" s="35">
        <v>28</v>
      </c>
      <c r="E46" s="34" t="s">
        <v>60</v>
      </c>
      <c r="F46" s="45">
        <v>16754</v>
      </c>
      <c r="G46" s="36">
        <f>+F46*D46</f>
        <v>469112</v>
      </c>
    </row>
    <row r="47" spans="2:9" x14ac:dyDescent="0.25">
      <c r="B47" s="33" t="s">
        <v>92</v>
      </c>
      <c r="C47" s="34" t="s">
        <v>61</v>
      </c>
      <c r="D47" s="35">
        <v>12</v>
      </c>
      <c r="E47" s="34" t="s">
        <v>60</v>
      </c>
      <c r="F47" s="45">
        <v>22796</v>
      </c>
      <c r="G47" s="36">
        <f t="shared" ref="G47:G57" si="1">+F47*D47</f>
        <v>273552</v>
      </c>
    </row>
    <row r="48" spans="2:9" x14ac:dyDescent="0.25">
      <c r="B48" s="33" t="s">
        <v>93</v>
      </c>
      <c r="C48" s="34" t="s">
        <v>91</v>
      </c>
      <c r="D48" s="35">
        <v>12</v>
      </c>
      <c r="E48" s="34" t="s">
        <v>62</v>
      </c>
      <c r="F48" s="45">
        <v>13701</v>
      </c>
      <c r="G48" s="36">
        <f t="shared" si="1"/>
        <v>164412</v>
      </c>
    </row>
    <row r="49" spans="2:9" x14ac:dyDescent="0.25">
      <c r="B49" s="28" t="s">
        <v>63</v>
      </c>
      <c r="C49" s="28"/>
      <c r="D49" s="28"/>
      <c r="E49" s="28"/>
      <c r="F49" s="45">
        <f>Papa!F49*'Papa Temprana'!$I$44</f>
        <v>0</v>
      </c>
      <c r="G49" s="28"/>
    </row>
    <row r="50" spans="2:9" x14ac:dyDescent="0.25">
      <c r="B50" s="33" t="s">
        <v>64</v>
      </c>
      <c r="C50" s="34" t="s">
        <v>65</v>
      </c>
      <c r="D50" s="35">
        <v>0.6</v>
      </c>
      <c r="E50" s="34" t="s">
        <v>62</v>
      </c>
      <c r="F50" s="45">
        <v>68539</v>
      </c>
      <c r="G50" s="36">
        <f t="shared" si="1"/>
        <v>41123.4</v>
      </c>
    </row>
    <row r="51" spans="2:9" x14ac:dyDescent="0.25">
      <c r="B51" s="33" t="s">
        <v>66</v>
      </c>
      <c r="C51" s="34" t="s">
        <v>67</v>
      </c>
      <c r="D51" s="35">
        <v>2</v>
      </c>
      <c r="E51" s="34" t="s">
        <v>62</v>
      </c>
      <c r="F51" s="45">
        <v>149263</v>
      </c>
      <c r="G51" s="36">
        <f>+F51*D51</f>
        <v>298526</v>
      </c>
    </row>
    <row r="52" spans="2:9" x14ac:dyDescent="0.25">
      <c r="B52" s="28" t="s">
        <v>68</v>
      </c>
      <c r="C52" s="28"/>
      <c r="D52" s="28"/>
      <c r="E52" s="28"/>
      <c r="F52" s="45">
        <f>Papa!F52*'Papa Temprana'!$I$44</f>
        <v>0</v>
      </c>
      <c r="G52" s="28"/>
      <c r="I52" s="40"/>
    </row>
    <row r="53" spans="2:9" x14ac:dyDescent="0.25">
      <c r="B53" s="33" t="s">
        <v>94</v>
      </c>
      <c r="C53" s="34" t="s">
        <v>95</v>
      </c>
      <c r="D53" s="35">
        <v>1</v>
      </c>
      <c r="E53" s="34" t="s">
        <v>62</v>
      </c>
      <c r="F53" s="45">
        <v>228464</v>
      </c>
      <c r="G53" s="36">
        <f t="shared" si="1"/>
        <v>228464</v>
      </c>
      <c r="I53" s="40"/>
    </row>
    <row r="54" spans="2:9" x14ac:dyDescent="0.25">
      <c r="B54" s="33" t="s">
        <v>96</v>
      </c>
      <c r="C54" s="34">
        <v>6</v>
      </c>
      <c r="D54" s="35">
        <v>2</v>
      </c>
      <c r="E54" s="34" t="s">
        <v>62</v>
      </c>
      <c r="F54" s="45">
        <v>12185</v>
      </c>
      <c r="G54" s="36">
        <f t="shared" si="1"/>
        <v>24370</v>
      </c>
    </row>
    <row r="55" spans="2:9" x14ac:dyDescent="0.25">
      <c r="B55" s="28" t="s">
        <v>69</v>
      </c>
      <c r="C55" s="28"/>
      <c r="D55" s="28"/>
      <c r="E55" s="28"/>
      <c r="F55" s="45">
        <f>Papa!F55*'Papa Temprana'!$I$44</f>
        <v>0</v>
      </c>
      <c r="G55" s="28"/>
      <c r="I55" s="40"/>
    </row>
    <row r="56" spans="2:9" x14ac:dyDescent="0.25">
      <c r="B56" s="33" t="s">
        <v>70</v>
      </c>
      <c r="C56" s="34" t="s">
        <v>71</v>
      </c>
      <c r="D56" s="35">
        <v>70</v>
      </c>
      <c r="E56" s="34" t="s">
        <v>59</v>
      </c>
      <c r="F56" s="45">
        <v>35508</v>
      </c>
      <c r="G56" s="36">
        <f t="shared" si="1"/>
        <v>2485560</v>
      </c>
      <c r="I56" s="40"/>
    </row>
    <row r="57" spans="2:9" x14ac:dyDescent="0.25">
      <c r="B57" s="33" t="s">
        <v>72</v>
      </c>
      <c r="C57" s="34" t="s">
        <v>71</v>
      </c>
      <c r="D57" s="35">
        <v>1200</v>
      </c>
      <c r="E57" s="34" t="s">
        <v>73</v>
      </c>
      <c r="F57" s="45">
        <v>259</v>
      </c>
      <c r="G57" s="36">
        <f t="shared" si="1"/>
        <v>310800</v>
      </c>
    </row>
    <row r="58" spans="2:9" x14ac:dyDescent="0.25">
      <c r="B58" s="75" t="s">
        <v>74</v>
      </c>
      <c r="C58" s="76"/>
      <c r="D58" s="76"/>
      <c r="E58" s="76"/>
      <c r="F58" s="77"/>
      <c r="G58" s="78">
        <f>SUM(G44:G57)</f>
        <v>5550159.4000000004</v>
      </c>
    </row>
    <row r="59" spans="2:9" x14ac:dyDescent="0.25">
      <c r="B59" s="1"/>
      <c r="C59" s="1"/>
      <c r="D59" s="1"/>
      <c r="E59" s="1"/>
      <c r="F59" s="1"/>
      <c r="G59" s="1"/>
    </row>
    <row r="60" spans="2:9" x14ac:dyDescent="0.25">
      <c r="B60" s="55" t="s">
        <v>75</v>
      </c>
      <c r="C60" s="56"/>
      <c r="D60" s="57"/>
      <c r="E60" s="57"/>
      <c r="F60" s="58"/>
      <c r="G60" s="59"/>
    </row>
    <row r="61" spans="2:9" ht="24" x14ac:dyDescent="0.25">
      <c r="B61" s="79" t="s">
        <v>76</v>
      </c>
      <c r="C61" s="73" t="s">
        <v>56</v>
      </c>
      <c r="D61" s="73" t="s">
        <v>57</v>
      </c>
      <c r="E61" s="79" t="s">
        <v>42</v>
      </c>
      <c r="F61" s="73" t="s">
        <v>26</v>
      </c>
      <c r="G61" s="79" t="s">
        <v>27</v>
      </c>
    </row>
    <row r="62" spans="2:9" x14ac:dyDescent="0.25">
      <c r="B62" s="80" t="s">
        <v>105</v>
      </c>
      <c r="C62" s="81" t="s">
        <v>105</v>
      </c>
      <c r="D62" s="81" t="s">
        <v>105</v>
      </c>
      <c r="E62" s="82" t="s">
        <v>105</v>
      </c>
      <c r="F62" s="83" t="s">
        <v>105</v>
      </c>
      <c r="G62" s="83"/>
    </row>
    <row r="63" spans="2:9" x14ac:dyDescent="0.25">
      <c r="B63" s="84" t="s">
        <v>77</v>
      </c>
      <c r="C63" s="85"/>
      <c r="D63" s="85"/>
      <c r="E63" s="86"/>
      <c r="F63" s="87"/>
      <c r="G63" s="88"/>
    </row>
    <row r="64" spans="2:9" x14ac:dyDescent="0.25">
      <c r="B64" s="1"/>
      <c r="C64" s="1"/>
      <c r="D64" s="1"/>
      <c r="E64" s="1"/>
      <c r="F64" s="1"/>
      <c r="G64" s="1"/>
    </row>
    <row r="65" spans="2:7" x14ac:dyDescent="0.25">
      <c r="B65" s="93" t="s">
        <v>78</v>
      </c>
      <c r="C65" s="94"/>
      <c r="D65" s="94"/>
      <c r="E65" s="94"/>
      <c r="F65" s="94"/>
      <c r="G65" s="95">
        <f>G58+G40+G31+G26</f>
        <v>7897159.4000000004</v>
      </c>
    </row>
    <row r="66" spans="2:7" x14ac:dyDescent="0.25">
      <c r="B66" s="96" t="s">
        <v>79</v>
      </c>
      <c r="C66" s="97"/>
      <c r="D66" s="97"/>
      <c r="E66" s="97"/>
      <c r="F66" s="97"/>
      <c r="G66" s="98">
        <f>G65*0.05</f>
        <v>394857.97000000003</v>
      </c>
    </row>
    <row r="67" spans="2:7" x14ac:dyDescent="0.25">
      <c r="B67" s="99" t="s">
        <v>80</v>
      </c>
      <c r="C67" s="100"/>
      <c r="D67" s="100"/>
      <c r="E67" s="100"/>
      <c r="F67" s="100"/>
      <c r="G67" s="101">
        <f>G66+G65</f>
        <v>8292017.3700000001</v>
      </c>
    </row>
    <row r="68" spans="2:7" x14ac:dyDescent="0.25">
      <c r="B68" s="96" t="s">
        <v>81</v>
      </c>
      <c r="C68" s="97"/>
      <c r="D68" s="97"/>
      <c r="E68" s="97"/>
      <c r="F68" s="97"/>
      <c r="G68" s="98">
        <f>G11</f>
        <v>9680000</v>
      </c>
    </row>
    <row r="69" spans="2:7" x14ac:dyDescent="0.25">
      <c r="B69" s="102" t="s">
        <v>82</v>
      </c>
      <c r="C69" s="103"/>
      <c r="D69" s="103"/>
      <c r="E69" s="103"/>
      <c r="F69" s="103"/>
      <c r="G69" s="95">
        <f>G68-G67</f>
        <v>1387982.63</v>
      </c>
    </row>
    <row r="70" spans="2:7" x14ac:dyDescent="0.25">
      <c r="B70" s="26" t="s">
        <v>83</v>
      </c>
      <c r="C70" s="26"/>
      <c r="D70" s="26"/>
      <c r="E70" s="26"/>
      <c r="F70" s="26"/>
      <c r="G70" s="26"/>
    </row>
    <row r="71" spans="2:7" x14ac:dyDescent="0.25">
      <c r="B71" s="27" t="s">
        <v>84</v>
      </c>
      <c r="C71" s="26"/>
      <c r="D71" s="26"/>
      <c r="E71" s="26"/>
      <c r="F71" s="26"/>
      <c r="G71" s="26"/>
    </row>
    <row r="72" spans="2:7" x14ac:dyDescent="0.25">
      <c r="B72" s="26" t="s">
        <v>85</v>
      </c>
      <c r="C72" s="26"/>
      <c r="D72" s="26"/>
      <c r="E72" s="26"/>
      <c r="F72" s="26"/>
      <c r="G72" s="26"/>
    </row>
    <row r="73" spans="2:7" x14ac:dyDescent="0.25">
      <c r="B73" s="26" t="s">
        <v>86</v>
      </c>
      <c r="C73" s="26"/>
      <c r="D73" s="26"/>
      <c r="E73" s="26"/>
      <c r="F73" s="26"/>
      <c r="G73" s="26"/>
    </row>
    <row r="74" spans="2:7" x14ac:dyDescent="0.25">
      <c r="B74" s="26" t="s">
        <v>87</v>
      </c>
      <c r="C74" s="26"/>
      <c r="D74" s="26"/>
      <c r="E74" s="26"/>
      <c r="F74" s="26"/>
      <c r="G74" s="26"/>
    </row>
    <row r="75" spans="2:7" x14ac:dyDescent="0.25">
      <c r="B75" s="26" t="s">
        <v>88</v>
      </c>
      <c r="C75" s="26"/>
      <c r="D75" s="26"/>
      <c r="E75" s="26"/>
      <c r="F75" s="26"/>
      <c r="G75" s="26"/>
    </row>
    <row r="76" spans="2:7" x14ac:dyDescent="0.25">
      <c r="B76" s="26" t="s">
        <v>89</v>
      </c>
      <c r="C76" s="26"/>
      <c r="D76" s="26"/>
      <c r="E76" s="26"/>
      <c r="F76" s="26"/>
      <c r="G76" s="26"/>
    </row>
    <row r="77" spans="2:7" x14ac:dyDescent="0.25">
      <c r="B77" s="26" t="s">
        <v>90</v>
      </c>
      <c r="C77" s="26"/>
      <c r="D77" s="26"/>
      <c r="E77" s="26"/>
      <c r="F77" s="26"/>
      <c r="G77" s="26"/>
    </row>
    <row r="79" spans="2:7" ht="15.75" thickBot="1" x14ac:dyDescent="0.3">
      <c r="B79" s="136" t="s">
        <v>106</v>
      </c>
      <c r="C79" s="137"/>
      <c r="D79" s="104"/>
      <c r="E79" s="105"/>
    </row>
    <row r="80" spans="2:7" x14ac:dyDescent="0.25">
      <c r="B80" s="106" t="s">
        <v>76</v>
      </c>
      <c r="C80" s="107" t="s">
        <v>107</v>
      </c>
      <c r="D80" s="108" t="s">
        <v>108</v>
      </c>
      <c r="E80" s="105"/>
    </row>
    <row r="81" spans="2:5" x14ac:dyDescent="0.25">
      <c r="B81" s="129" t="s">
        <v>109</v>
      </c>
      <c r="C81" s="130">
        <f>G26</f>
        <v>1397500</v>
      </c>
      <c r="D81" s="131">
        <f>(C81/C87)</f>
        <v>0.16853558520705317</v>
      </c>
      <c r="E81" s="105"/>
    </row>
    <row r="82" spans="2:5" x14ac:dyDescent="0.25">
      <c r="B82" s="129" t="s">
        <v>110</v>
      </c>
      <c r="C82" s="130">
        <f>G31</f>
        <v>0</v>
      </c>
      <c r="D82" s="131">
        <v>0</v>
      </c>
      <c r="E82" s="105"/>
    </row>
    <row r="83" spans="2:5" x14ac:dyDescent="0.25">
      <c r="B83" s="129" t="s">
        <v>111</v>
      </c>
      <c r="C83" s="130">
        <f>G40</f>
        <v>949500</v>
      </c>
      <c r="D83" s="131">
        <f>(C83/C87)</f>
        <v>0.11450771960937173</v>
      </c>
      <c r="E83" s="105"/>
    </row>
    <row r="84" spans="2:5" x14ac:dyDescent="0.25">
      <c r="B84" s="129" t="s">
        <v>55</v>
      </c>
      <c r="C84" s="130">
        <f>G58</f>
        <v>5550159.4000000004</v>
      </c>
      <c r="D84" s="131">
        <f>(C84/C87)</f>
        <v>0.66933764756452752</v>
      </c>
      <c r="E84" s="105"/>
    </row>
    <row r="85" spans="2:5" x14ac:dyDescent="0.25">
      <c r="B85" s="129" t="s">
        <v>69</v>
      </c>
      <c r="C85" s="132">
        <f>G63</f>
        <v>0</v>
      </c>
      <c r="D85" s="131">
        <f>(C85/C87)</f>
        <v>0</v>
      </c>
      <c r="E85" s="113"/>
    </row>
    <row r="86" spans="2:5" x14ac:dyDescent="0.25">
      <c r="B86" s="129" t="s">
        <v>112</v>
      </c>
      <c r="C86" s="132">
        <f>G66</f>
        <v>394857.97000000003</v>
      </c>
      <c r="D86" s="131">
        <f>(C86/C87)</f>
        <v>4.7619047619047623E-2</v>
      </c>
      <c r="E86" s="113"/>
    </row>
    <row r="87" spans="2:5" ht="15.75" thickBot="1" x14ac:dyDescent="0.3">
      <c r="B87" s="133" t="s">
        <v>113</v>
      </c>
      <c r="C87" s="134">
        <f>SUM(C81:C86)</f>
        <v>8292017.3700000001</v>
      </c>
      <c r="D87" s="135">
        <f>SUM(D81:D86)</f>
        <v>1</v>
      </c>
      <c r="E87" s="113"/>
    </row>
    <row r="88" spans="2:5" x14ac:dyDescent="0.25">
      <c r="B88" s="117"/>
      <c r="C88" s="118"/>
      <c r="D88" s="118"/>
      <c r="E88" s="118"/>
    </row>
    <row r="89" spans="2:5" ht="15.75" thickBot="1" x14ac:dyDescent="0.3">
      <c r="B89" s="119"/>
      <c r="C89" s="118"/>
      <c r="D89" s="118"/>
      <c r="E89" s="118"/>
    </row>
    <row r="90" spans="2:5" ht="15.75" thickBot="1" x14ac:dyDescent="0.3">
      <c r="B90" s="138" t="s">
        <v>114</v>
      </c>
      <c r="C90" s="139"/>
      <c r="D90" s="139"/>
      <c r="E90" s="140"/>
    </row>
    <row r="91" spans="2:5" x14ac:dyDescent="0.25">
      <c r="B91" s="120" t="s">
        <v>116</v>
      </c>
      <c r="C91" s="121">
        <v>20000</v>
      </c>
      <c r="D91" s="121">
        <v>22000</v>
      </c>
      <c r="E91" s="121">
        <v>25000</v>
      </c>
    </row>
    <row r="92" spans="2:5" ht="15.75" thickBot="1" x14ac:dyDescent="0.3">
      <c r="B92" s="114" t="s">
        <v>117</v>
      </c>
      <c r="C92" s="115">
        <f>(G66/C91)</f>
        <v>19.742898500000003</v>
      </c>
      <c r="D92" s="115">
        <f>(G66/D91)</f>
        <v>17.948089545454547</v>
      </c>
      <c r="E92" s="122">
        <f>(G66/E91)</f>
        <v>15.794318800000001</v>
      </c>
    </row>
    <row r="93" spans="2:5" x14ac:dyDescent="0.25">
      <c r="B93" s="123" t="s">
        <v>115</v>
      </c>
      <c r="C93" s="124"/>
      <c r="D93" s="124"/>
      <c r="E93" s="124"/>
    </row>
  </sheetData>
  <mergeCells count="10">
    <mergeCell ref="E14:F14"/>
    <mergeCell ref="B16:G16"/>
    <mergeCell ref="B79:C79"/>
    <mergeCell ref="B90:E90"/>
    <mergeCell ref="E8:F8"/>
    <mergeCell ref="E9:F9"/>
    <mergeCell ref="E10:F10"/>
    <mergeCell ref="E11:F11"/>
    <mergeCell ref="E12:F12"/>
    <mergeCell ref="E13:F13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460fcf2cabfba59f52d96c11e90afadb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e9e81fa5701fb57a9a1e74e746f7827b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48F6F55-A26A-44E4-8A3E-217F34638169}">
  <ds:schemaRefs>
    <ds:schemaRef ds:uri="http://purl.org/dc/dcmitype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1030f0af-99cb-42f1-88fc-acec73331192"/>
    <ds:schemaRef ds:uri="http://schemas.microsoft.com/office/2006/documentManagement/types"/>
    <ds:schemaRef ds:uri="http://purl.org/dc/elements/1.1/"/>
    <ds:schemaRef ds:uri="c5dbce2d-49dc-4afe-a5b0-d7fb7a901161"/>
    <ds:schemaRef ds:uri="http://schemas.microsoft.com/sharepoint/v3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43FA8A4-0FF8-4484-81C5-27BC59DDF4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BA65ED-F37E-41E0-9914-758A3D9A48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Papa</vt:lpstr>
      <vt:lpstr>Hoja2</vt:lpstr>
      <vt:lpstr>Papa Temprana</vt:lpstr>
      <vt:lpstr>Papa!Área_de_impresión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Salinas Alvarez Mariana Beatriz</dc:creator>
  <cp:lastModifiedBy>Rioseco Ventura Victor Manuel</cp:lastModifiedBy>
  <cp:lastPrinted>2019-03-20T19:53:32Z</cp:lastPrinted>
  <dcterms:created xsi:type="dcterms:W3CDTF">2017-03-13T16:18:26Z</dcterms:created>
  <dcterms:modified xsi:type="dcterms:W3CDTF">2023-05-03T14:42:43Z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