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sand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1" l="1"/>
  <c r="E65" i="1"/>
  <c r="F65" i="1" s="1"/>
  <c r="F66" i="1" s="1"/>
  <c r="B89" i="1" s="1"/>
  <c r="E60" i="1"/>
  <c r="F60" i="1" s="1"/>
  <c r="F59" i="1"/>
  <c r="E59" i="1"/>
  <c r="E57" i="1"/>
  <c r="F57" i="1" s="1"/>
  <c r="F56" i="1"/>
  <c r="E56" i="1"/>
  <c r="E54" i="1"/>
  <c r="F54" i="1" s="1"/>
  <c r="F52" i="1"/>
  <c r="E52" i="1"/>
  <c r="E51" i="1"/>
  <c r="F51" i="1" s="1"/>
  <c r="F50" i="1"/>
  <c r="E50" i="1"/>
  <c r="E48" i="1"/>
  <c r="F48" i="1" s="1"/>
  <c r="F43" i="1"/>
  <c r="E43" i="1"/>
  <c r="E42" i="1"/>
  <c r="F42" i="1" s="1"/>
  <c r="F41" i="1"/>
  <c r="E41" i="1"/>
  <c r="E40" i="1"/>
  <c r="F40" i="1" s="1"/>
  <c r="F39" i="1"/>
  <c r="E39" i="1"/>
  <c r="E38" i="1"/>
  <c r="F38" i="1" s="1"/>
  <c r="F44" i="1" s="1"/>
  <c r="B87" i="1" s="1"/>
  <c r="F37" i="1"/>
  <c r="E37" i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F21" i="1"/>
  <c r="F28" i="1" s="1"/>
  <c r="E21" i="1"/>
  <c r="F12" i="1"/>
  <c r="F71" i="1" s="1"/>
  <c r="F68" i="1" l="1"/>
  <c r="B85" i="1"/>
  <c r="F61" i="1"/>
  <c r="B88" i="1" s="1"/>
  <c r="F69" i="1" l="1"/>
  <c r="B90" i="1" s="1"/>
  <c r="F70" i="1" l="1"/>
  <c r="B91" i="1"/>
  <c r="C87" i="1" l="1"/>
  <c r="C89" i="1"/>
  <c r="C88" i="1"/>
  <c r="C85" i="1"/>
  <c r="C91" i="1" s="1"/>
  <c r="C90" i="1"/>
  <c r="D96" i="1"/>
  <c r="C96" i="1"/>
  <c r="B96" i="1"/>
  <c r="F72" i="1"/>
</calcChain>
</file>

<file path=xl/sharedStrings.xml><?xml version="1.0" encoding="utf-8"?>
<sst xmlns="http://schemas.openxmlformats.org/spreadsheetml/2006/main" count="171" uniqueCount="122">
  <si>
    <t>RUBRO O CULTIVO</t>
  </si>
  <si>
    <t>SANDIA</t>
  </si>
  <si>
    <t>RENDIMIENTO (uni/ha)</t>
  </si>
  <si>
    <t>VARIEDAD</t>
  </si>
  <si>
    <t>Sin especificar</t>
  </si>
  <si>
    <t>Fecha Estimada precio venta</t>
  </si>
  <si>
    <t>Febrero</t>
  </si>
  <si>
    <t>NIVEL TECNOLÓGICO</t>
  </si>
  <si>
    <t>MEDIO</t>
  </si>
  <si>
    <t>PRECIO ESPERADO ($/t)</t>
  </si>
  <si>
    <t>REGIÓN</t>
  </si>
  <si>
    <t>COQUIMBO</t>
  </si>
  <si>
    <t>INGRESO ESPERADO, C. IVA($)</t>
  </si>
  <si>
    <t>ÁREA</t>
  </si>
  <si>
    <t>LA SERENA</t>
  </si>
  <si>
    <t>DESTINO DE PRODUCCIÓN</t>
  </si>
  <si>
    <t>Mercado interno</t>
  </si>
  <si>
    <t>COMUNA/LOCALIDAD</t>
  </si>
  <si>
    <t>LA SERENA - VICUÑA</t>
  </si>
  <si>
    <t>FECHA DE COSECHA</t>
  </si>
  <si>
    <t>Octubre-Febrero</t>
  </si>
  <si>
    <t>FECHA PRECIO INSUMOS</t>
  </si>
  <si>
    <t>CONTINGENCIA</t>
  </si>
  <si>
    <t>Sequia</t>
  </si>
  <si>
    <t>G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</si>
  <si>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</si>
  <si>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</si>
  <si>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</si>
  <si>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</si>
  <si>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</si>
  <si>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</si>
  <si>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</si>
  <si>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</si>
  <si>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</si>
  <si>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</si>
  <si>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Oct-Feb</t>
  </si>
  <si>
    <t>transplante</t>
  </si>
  <si>
    <t>Octubre</t>
  </si>
  <si>
    <t xml:space="preserve">Acarreo de insumos y cosecha </t>
  </si>
  <si>
    <t>APLICACIÓN  FERTILIZANTES</t>
  </si>
  <si>
    <t>Oct-Ene</t>
  </si>
  <si>
    <t>Aplicación agroquimico</t>
  </si>
  <si>
    <t>Nov-Dic</t>
  </si>
  <si>
    <t>CONTROL DE MALEZAS</t>
  </si>
  <si>
    <t>Cosecha</t>
  </si>
  <si>
    <t>Ene-Feb</t>
  </si>
  <si>
    <t>Subtotal Jornadas Hombre</t>
  </si>
  <si>
    <t xml:space="preserve"> </t>
  </si>
  <si>
    <t>JORNADAS ANIMAL</t>
  </si>
  <si>
    <t>Subtotal Jornadas Animal</t>
  </si>
  <si>
    <t>MAQUINARIA</t>
  </si>
  <si>
    <t>Aradura</t>
  </si>
  <si>
    <t>JM</t>
  </si>
  <si>
    <t>Sep-Oct</t>
  </si>
  <si>
    <t>rastraje</t>
  </si>
  <si>
    <t>melgadura</t>
  </si>
  <si>
    <t>Acarreo de insumos</t>
  </si>
  <si>
    <t>desinfecciones</t>
  </si>
  <si>
    <t>Aplicaciones de pesticidas jm</t>
  </si>
  <si>
    <t xml:space="preserve">Acarreo de cosecha </t>
  </si>
  <si>
    <t>Subtotal Costo Maquinaria</t>
  </si>
  <si>
    <t>INSUMOS</t>
  </si>
  <si>
    <t>UNIDAD (Kg/l/u</t>
  </si>
  <si>
    <t>CANTIDAD (kg/I/u)</t>
  </si>
  <si>
    <t>SUBTOTAL ($)</t>
  </si>
  <si>
    <t>Plantulas sandía</t>
  </si>
  <si>
    <t>Unidad</t>
  </si>
  <si>
    <t xml:space="preserve">Ago-Sep </t>
  </si>
  <si>
    <t>FERTILIZANTES</t>
  </si>
  <si>
    <t>Mezcla NPK</t>
  </si>
  <si>
    <t>Kg</t>
  </si>
  <si>
    <t>urea</t>
  </si>
  <si>
    <t>25 Kg</t>
  </si>
  <si>
    <t>Nov-Ene</t>
  </si>
  <si>
    <t>Nitrato de Potasio</t>
  </si>
  <si>
    <t>Dic-Ene</t>
  </si>
  <si>
    <t>HERBICIDAS</t>
  </si>
  <si>
    <t>Sencor 480</t>
  </si>
  <si>
    <t>Lt</t>
  </si>
  <si>
    <t>FUNGUICIDAS</t>
  </si>
  <si>
    <t>Cadilac</t>
  </si>
  <si>
    <t>metalaxil</t>
  </si>
  <si>
    <t>Noviembre</t>
  </si>
  <si>
    <t>INSECTICIDAS</t>
  </si>
  <si>
    <t>lorsban</t>
  </si>
  <si>
    <t>Oct-Nov</t>
  </si>
  <si>
    <t>Zero 5 EC</t>
  </si>
  <si>
    <t>Subtotal Insumos</t>
  </si>
  <si>
    <t xml:space="preserve">   OTROS</t>
  </si>
  <si>
    <t>ITEM</t>
  </si>
  <si>
    <t>Envases Cosecha (caja)</t>
  </si>
  <si>
    <t>Caja</t>
  </si>
  <si>
    <t>Nov-Feb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</si>
  <si>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</si>
  <si>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</si>
  <si>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</si>
  <si>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</si>
  <si>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</si>
  <si>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</si>
  <si>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</si>
  <si>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</si>
  <si>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</si>
  <si>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</si>
  <si>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</si>
  <si>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</si>
  <si>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</si>
  <si>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</si>
  <si>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</si>
  <si>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</si>
  <si>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</si>
  <si>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</si>
  <si>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</si>
  <si>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</si>
  <si>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</si>
  <si>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</si>
  <si>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</si>
  <si>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</si>
  <si>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</si>
  <si>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($/t)</t>
  </si>
  <si>
    <t>Rendimiento (t/hà)</t>
  </si>
  <si>
    <t>Costo unitario ($/t)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</si>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</sst>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1" applyNumberFormat="1" applyFont="1" applyBorder="1"/>
    <xf numFmtId="164" fontId="6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164" fontId="1" fillId="0" borderId="0" xfId="1" applyNumberFormat="1" applyFont="1" applyBorder="1"/>
    <xf numFmtId="0" fontId="5" fillId="2" borderId="0" xfId="0" applyFont="1" applyFill="1" applyAlignment="1">
      <alignment horizontal="center" vertical="center" wrapText="1"/>
    </xf>
    <xf numFmtId="164" fontId="7" fillId="0" borderId="0" xfId="1" applyNumberFormat="1" applyFont="1" applyBorder="1"/>
    <xf numFmtId="0" fontId="5" fillId="4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wrapText="1"/>
    </xf>
    <xf numFmtId="164" fontId="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1" fillId="2" borderId="1" xfId="1" applyNumberFormat="1" applyFont="1" applyFill="1" applyBorder="1"/>
    <xf numFmtId="164" fontId="2" fillId="2" borderId="1" xfId="1" applyNumberFormat="1" applyFont="1" applyFill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164" fontId="2" fillId="2" borderId="1" xfId="1" applyNumberFormat="1" applyFont="1" applyFill="1" applyBorder="1" applyAlignment="1">
      <alignment horizontal="right"/>
    </xf>
    <xf numFmtId="0" fontId="0" fillId="0" borderId="1" xfId="0" applyBorder="1"/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1" applyNumberFormat="1" applyFont="1" applyBorder="1"/>
    <xf numFmtId="0" fontId="9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164" fontId="9" fillId="2" borderId="1" xfId="1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5" fillId="4" borderId="0" xfId="0" applyFont="1" applyFill="1"/>
    <xf numFmtId="3" fontId="5" fillId="4" borderId="0" xfId="0" applyNumberFormat="1" applyFont="1" applyFill="1"/>
    <xf numFmtId="0" fontId="5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4" fillId="5" borderId="0" xfId="0" applyFont="1" applyFill="1" applyAlignment="1">
      <alignment vertical="center"/>
    </xf>
    <xf numFmtId="165" fontId="15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6" fillId="5" borderId="2" xfId="0" applyNumberFormat="1" applyFont="1" applyFill="1" applyBorder="1" applyAlignment="1">
      <alignment vertical="center"/>
    </xf>
    <xf numFmtId="0" fontId="18" fillId="5" borderId="3" xfId="0" applyFont="1" applyFill="1" applyBorder="1"/>
    <xf numFmtId="0" fontId="18" fillId="5" borderId="4" xfId="0" applyFont="1" applyFill="1" applyBorder="1"/>
    <xf numFmtId="49" fontId="18" fillId="5" borderId="5" xfId="0" applyNumberFormat="1" applyFont="1" applyFill="1" applyBorder="1" applyAlignment="1">
      <alignment vertical="center"/>
    </xf>
    <xf numFmtId="0" fontId="18" fillId="5" borderId="0" xfId="0" applyFont="1" applyFill="1"/>
    <xf numFmtId="0" fontId="18" fillId="5" borderId="6" xfId="0" applyFont="1" applyFill="1" applyBorder="1"/>
    <xf numFmtId="49" fontId="18" fillId="5" borderId="7" xfId="0" applyNumberFormat="1" applyFont="1" applyFill="1" applyBorder="1" applyAlignment="1">
      <alignment vertical="center"/>
    </xf>
    <xf numFmtId="0" fontId="18" fillId="5" borderId="8" xfId="0" applyFont="1" applyFill="1" applyBorder="1"/>
    <xf numFmtId="0" fontId="18" fillId="5" borderId="9" xfId="0" applyFont="1" applyFill="1" applyBorder="1"/>
    <xf numFmtId="0" fontId="18" fillId="5" borderId="0" xfId="0" applyFont="1" applyFill="1" applyAlignment="1">
      <alignment vertical="center"/>
    </xf>
    <xf numFmtId="49" fontId="19" fillId="4" borderId="10" xfId="0" applyNumberFormat="1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vertical="center"/>
    </xf>
    <xf numFmtId="0" fontId="20" fillId="4" borderId="12" xfId="0" applyFont="1" applyFill="1" applyBorder="1"/>
    <xf numFmtId="0" fontId="18" fillId="3" borderId="0" xfId="0" applyFont="1" applyFill="1"/>
    <xf numFmtId="49" fontId="16" fillId="6" borderId="13" xfId="0" applyNumberFormat="1" applyFont="1" applyFill="1" applyBorder="1" applyAlignment="1">
      <alignment vertical="center"/>
    </xf>
    <xf numFmtId="49" fontId="16" fillId="6" borderId="14" xfId="0" applyNumberFormat="1" applyFont="1" applyFill="1" applyBorder="1" applyAlignment="1">
      <alignment horizontal="center" vertical="center"/>
    </xf>
    <xf numFmtId="49" fontId="18" fillId="6" borderId="15" xfId="0" applyNumberFormat="1" applyFont="1" applyFill="1" applyBorder="1" applyAlignment="1">
      <alignment horizontal="center"/>
    </xf>
    <xf numFmtId="49" fontId="16" fillId="5" borderId="16" xfId="0" applyNumberFormat="1" applyFont="1" applyFill="1" applyBorder="1" applyAlignment="1">
      <alignment vertical="center"/>
    </xf>
    <xf numFmtId="3" fontId="16" fillId="5" borderId="17" xfId="0" applyNumberFormat="1" applyFont="1" applyFill="1" applyBorder="1" applyAlignment="1">
      <alignment vertical="center"/>
    </xf>
    <xf numFmtId="9" fontId="18" fillId="5" borderId="18" xfId="0" applyNumberFormat="1" applyFont="1" applyFill="1" applyBorder="1"/>
    <xf numFmtId="164" fontId="16" fillId="5" borderId="17" xfId="0" applyNumberFormat="1" applyFont="1" applyFill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16" fillId="6" borderId="19" xfId="0" applyNumberFormat="1" applyFont="1" applyFill="1" applyBorder="1" applyAlignment="1">
      <alignment vertical="center"/>
    </xf>
    <xf numFmtId="166" fontId="16" fillId="6" borderId="20" xfId="0" applyNumberFormat="1" applyFont="1" applyFill="1" applyBorder="1" applyAlignment="1">
      <alignment vertical="center"/>
    </xf>
    <xf numFmtId="9" fontId="16" fillId="6" borderId="21" xfId="0" applyNumberFormat="1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49" fontId="16" fillId="6" borderId="22" xfId="0" applyNumberFormat="1" applyFont="1" applyFill="1" applyBorder="1" applyAlignment="1">
      <alignment vertical="center"/>
    </xf>
    <xf numFmtId="0" fontId="16" fillId="6" borderId="23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5" fontId="22" fillId="5" borderId="0" xfId="0" applyNumberFormat="1" applyFont="1" applyFill="1" applyAlignment="1">
      <alignment vertical="center"/>
    </xf>
    <xf numFmtId="166" fontId="16" fillId="6" borderId="21" xfId="0" applyNumberFormat="1" applyFont="1" applyFill="1" applyBorder="1" applyAlignment="1">
      <alignment vertical="center"/>
    </xf>
    <xf numFmtId="49" fontId="18" fillId="5" borderId="0" xfId="0" applyNumberFormat="1" applyFont="1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504825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5AAF3E-5FE6-45BC-EB98-D0AA9985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6488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  <cell r="E22" t="str">
            <v>tutores</v>
          </cell>
          <cell r="F22" t="str">
            <v>u</v>
          </cell>
          <cell r="G22">
            <v>900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7"/>
  <sheetViews>
    <sheetView tabSelected="1" workbookViewId="0">
      <selection sqref="A1:I1048576"/>
    </sheetView>
  </sheetViews>
  <sheetFormatPr baseColWidth="10" defaultRowHeight="15" x14ac:dyDescent="0.25"/>
  <cols>
    <col min="1" max="1" width="28.7109375" customWidth="1"/>
    <col min="3" max="3" width="15.5703125" bestFit="1" customWidth="1"/>
    <col min="5" max="5" width="24.42578125" bestFit="1" customWidth="1"/>
    <col min="6" max="6" width="15" bestFit="1" customWidth="1"/>
  </cols>
  <sheetData>
    <row r="9" spans="1:6" x14ac:dyDescent="0.25">
      <c r="A9" s="1" t="s">
        <v>0</v>
      </c>
      <c r="B9" s="2" t="s">
        <v>1</v>
      </c>
      <c r="C9" s="2"/>
      <c r="E9" s="1" t="s">
        <v>2</v>
      </c>
      <c r="F9" s="3">
        <v>8500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x14ac:dyDescent="0.25">
      <c r="A11" s="4" t="s">
        <v>7</v>
      </c>
      <c r="B11" s="5" t="s">
        <v>8</v>
      </c>
      <c r="C11" s="5"/>
      <c r="E11" s="8" t="s">
        <v>9</v>
      </c>
      <c r="F11" s="9">
        <v>1000</v>
      </c>
    </row>
    <row r="12" spans="1:6" x14ac:dyDescent="0.25">
      <c r="A12" s="4" t="s">
        <v>10</v>
      </c>
      <c r="B12" s="5" t="s">
        <v>11</v>
      </c>
      <c r="C12" s="5"/>
      <c r="E12" s="8" t="s">
        <v>12</v>
      </c>
      <c r="F12" s="9">
        <f>SUM(F11*F9)</f>
        <v>8500000</v>
      </c>
    </row>
    <row r="13" spans="1:6" x14ac:dyDescent="0.25">
      <c r="A13" s="4" t="s">
        <v>13</v>
      </c>
      <c r="B13" s="10" t="s">
        <v>14</v>
      </c>
      <c r="C13" s="10"/>
      <c r="E13" s="8" t="s">
        <v>15</v>
      </c>
      <c r="F13" s="9" t="s">
        <v>16</v>
      </c>
    </row>
    <row r="14" spans="1:6" x14ac:dyDescent="0.25">
      <c r="A14" s="11" t="s">
        <v>17</v>
      </c>
      <c r="B14" s="5" t="s">
        <v>18</v>
      </c>
      <c r="C14" s="5"/>
      <c r="E14" s="8" t="s">
        <v>19</v>
      </c>
      <c r="F14" s="9" t="s">
        <v>20</v>
      </c>
    </row>
    <row r="15" spans="1:6" ht="15.75" x14ac:dyDescent="0.25">
      <c r="A15" s="11" t="s">
        <v>21</v>
      </c>
      <c r="B15" s="12">
        <v>2022</v>
      </c>
      <c r="C15" s="12"/>
      <c r="E15" s="8" t="s">
        <v>22</v>
      </c>
      <c r="F15" s="9" t="s">
        <v>23</v>
      </c>
    </row>
    <row r="16" spans="1:6" x14ac:dyDescent="0.25">
      <c r="A16" s="13"/>
      <c r="B16" s="14" t="s">
        <v>24</v>
      </c>
      <c r="E16" s="15"/>
      <c r="F16" s="15"/>
    </row>
    <row r="17" spans="1:6" x14ac:dyDescent="0.25">
      <c r="A17" s="16" t="s">
        <v>25</v>
      </c>
      <c r="B17" s="16"/>
      <c r="C17" s="16"/>
      <c r="D17" s="16"/>
      <c r="E17" s="16"/>
      <c r="F17" s="16"/>
    </row>
    <row r="18" spans="1:6" x14ac:dyDescent="0.25">
      <c r="A18" s="13"/>
      <c r="B18" s="13"/>
      <c r="C18" s="13"/>
      <c r="D18" s="13"/>
      <c r="E18" s="17"/>
      <c r="F18" s="17"/>
    </row>
    <row r="19" spans="1:6" x14ac:dyDescent="0.25">
      <c r="A19" s="18" t="s">
        <v>26</v>
      </c>
      <c r="E19" s="15"/>
      <c r="F19" s="15"/>
    </row>
    <row r="20" spans="1:6" x14ac:dyDescent="0.25">
      <c r="A20" s="19" t="s">
        <v>27</v>
      </c>
      <c r="B20" s="19" t="s">
        <v>28</v>
      </c>
      <c r="C20" s="19" t="s">
        <v>29</v>
      </c>
      <c r="D20" s="19" t="s">
        <v>30</v>
      </c>
      <c r="E20" s="20" t="s">
        <v>31</v>
      </c>
      <c r="F20" s="21" t="s">
        <v>32</v>
      </c>
    </row>
    <row r="21" spans="1:6" x14ac:dyDescent="0.25">
      <c r="A21" s="6" t="s">
        <v>33</v>
      </c>
      <c r="B21" s="22" t="s">
        <v>34</v>
      </c>
      <c r="C21" s="22">
        <v>12</v>
      </c>
      <c r="D21" s="22" t="s">
        <v>35</v>
      </c>
      <c r="E21" s="23">
        <f>VLOOKUP(A21,[1]PRECIO!A2:C221,3,0)</f>
        <v>30000</v>
      </c>
      <c r="F21" s="23">
        <f t="shared" ref="F21:F27" si="0">E21*C21</f>
        <v>360000</v>
      </c>
    </row>
    <row r="22" spans="1:6" x14ac:dyDescent="0.25">
      <c r="A22" s="6" t="s">
        <v>36</v>
      </c>
      <c r="B22" s="22" t="s">
        <v>34</v>
      </c>
      <c r="C22" s="22">
        <v>4</v>
      </c>
      <c r="D22" s="22" t="s">
        <v>37</v>
      </c>
      <c r="E22" s="23">
        <f>VLOOKUP(A22,[1]PRECIO!A3:C222,3,0)</f>
        <v>30000</v>
      </c>
      <c r="F22" s="23">
        <f t="shared" si="0"/>
        <v>120000</v>
      </c>
    </row>
    <row r="23" spans="1:6" x14ac:dyDescent="0.25">
      <c r="A23" s="6" t="s">
        <v>38</v>
      </c>
      <c r="B23" s="22" t="s">
        <v>34</v>
      </c>
      <c r="C23" s="22">
        <v>1</v>
      </c>
      <c r="D23" s="22" t="s">
        <v>35</v>
      </c>
      <c r="E23" s="23">
        <f>VLOOKUP(A23,[1]PRECIO!A4:C223,3,0)</f>
        <v>30000</v>
      </c>
      <c r="F23" s="23">
        <f t="shared" si="0"/>
        <v>30000</v>
      </c>
    </row>
    <row r="24" spans="1:6" x14ac:dyDescent="0.25">
      <c r="A24" s="6" t="s">
        <v>39</v>
      </c>
      <c r="B24" s="22" t="s">
        <v>34</v>
      </c>
      <c r="C24" s="22">
        <v>3</v>
      </c>
      <c r="D24" s="22" t="s">
        <v>40</v>
      </c>
      <c r="E24" s="23">
        <f>VLOOKUP(A24,[1]PRECIO!A5:C224,3,0)</f>
        <v>30000</v>
      </c>
      <c r="F24" s="23">
        <f t="shared" si="0"/>
        <v>90000</v>
      </c>
    </row>
    <row r="25" spans="1:6" x14ac:dyDescent="0.25">
      <c r="A25" s="6" t="s">
        <v>41</v>
      </c>
      <c r="B25" s="22" t="s">
        <v>34</v>
      </c>
      <c r="C25" s="22">
        <v>8</v>
      </c>
      <c r="D25" s="22" t="s">
        <v>42</v>
      </c>
      <c r="E25" s="23">
        <f>VLOOKUP(A25,[1]PRECIO!A6:C225,3,0)</f>
        <v>30000</v>
      </c>
      <c r="F25" s="23">
        <f t="shared" si="0"/>
        <v>240000</v>
      </c>
    </row>
    <row r="26" spans="1:6" x14ac:dyDescent="0.25">
      <c r="A26" s="6" t="s">
        <v>43</v>
      </c>
      <c r="B26" s="22" t="s">
        <v>34</v>
      </c>
      <c r="C26" s="22">
        <v>6</v>
      </c>
      <c r="D26" s="22" t="s">
        <v>35</v>
      </c>
      <c r="E26" s="23">
        <f>VLOOKUP(A26,[1]PRECIO!A7:C226,3,0)</f>
        <v>30000</v>
      </c>
      <c r="F26" s="23">
        <f t="shared" si="0"/>
        <v>180000</v>
      </c>
    </row>
    <row r="27" spans="1:6" x14ac:dyDescent="0.25">
      <c r="A27" s="6" t="s">
        <v>44</v>
      </c>
      <c r="B27" s="22" t="s">
        <v>34</v>
      </c>
      <c r="C27" s="22">
        <v>8</v>
      </c>
      <c r="D27" s="22" t="s">
        <v>45</v>
      </c>
      <c r="E27" s="23">
        <f>VLOOKUP(A27,[1]PRECIO!A8:C227,3,0)</f>
        <v>30000</v>
      </c>
      <c r="F27" s="23">
        <f t="shared" si="0"/>
        <v>240000</v>
      </c>
    </row>
    <row r="28" spans="1:6" x14ac:dyDescent="0.25">
      <c r="A28" s="24" t="s">
        <v>46</v>
      </c>
      <c r="B28" s="25"/>
      <c r="C28" s="25" t="s">
        <v>47</v>
      </c>
      <c r="D28" s="25"/>
      <c r="E28" s="26"/>
      <c r="F28" s="27">
        <f>SUM(F21:F27)</f>
        <v>1260000</v>
      </c>
    </row>
    <row r="29" spans="1:6" x14ac:dyDescent="0.25">
      <c r="E29" s="15"/>
      <c r="F29" s="15"/>
    </row>
    <row r="30" spans="1:6" x14ac:dyDescent="0.25">
      <c r="A30" s="18" t="s">
        <v>48</v>
      </c>
      <c r="E30" s="15"/>
      <c r="F30" s="15"/>
    </row>
    <row r="31" spans="1:6" x14ac:dyDescent="0.25">
      <c r="A31" s="19" t="s">
        <v>27</v>
      </c>
      <c r="B31" s="19" t="s">
        <v>28</v>
      </c>
      <c r="C31" s="19" t="s">
        <v>29</v>
      </c>
      <c r="D31" s="19" t="s">
        <v>30</v>
      </c>
      <c r="E31" s="20" t="s">
        <v>31</v>
      </c>
      <c r="F31" s="21" t="s">
        <v>32</v>
      </c>
    </row>
    <row r="32" spans="1:6" x14ac:dyDescent="0.25">
      <c r="A32" s="28"/>
      <c r="B32" s="29"/>
      <c r="C32" s="29"/>
      <c r="D32" s="29"/>
      <c r="E32" s="23"/>
      <c r="F32" s="23"/>
    </row>
    <row r="33" spans="1:6" x14ac:dyDescent="0.25">
      <c r="A33" s="24" t="s">
        <v>49</v>
      </c>
      <c r="B33" s="25"/>
      <c r="C33" s="25"/>
      <c r="D33" s="25"/>
      <c r="E33" s="26"/>
      <c r="F33" s="30"/>
    </row>
    <row r="34" spans="1:6" x14ac:dyDescent="0.25">
      <c r="E34" s="15"/>
      <c r="F34" s="15"/>
    </row>
    <row r="35" spans="1:6" x14ac:dyDescent="0.25">
      <c r="A35" s="18" t="s">
        <v>50</v>
      </c>
      <c r="E35" s="15"/>
      <c r="F35" s="15"/>
    </row>
    <row r="36" spans="1:6" x14ac:dyDescent="0.25">
      <c r="A36" s="19" t="s">
        <v>27</v>
      </c>
      <c r="B36" s="19" t="s">
        <v>28</v>
      </c>
      <c r="C36" s="19" t="s">
        <v>29</v>
      </c>
      <c r="D36" s="19" t="s">
        <v>30</v>
      </c>
      <c r="E36" s="20" t="s">
        <v>31</v>
      </c>
      <c r="F36" s="21" t="s">
        <v>32</v>
      </c>
    </row>
    <row r="37" spans="1:6" x14ac:dyDescent="0.25">
      <c r="A37" s="31" t="s">
        <v>51</v>
      </c>
      <c r="B37" s="32" t="s">
        <v>52</v>
      </c>
      <c r="C37" s="33">
        <v>0.05</v>
      </c>
      <c r="D37" s="34" t="s">
        <v>53</v>
      </c>
      <c r="E37" s="35">
        <f>VLOOKUP(A37,[1]PRECIO!A18:C237,3,0)</f>
        <v>200000</v>
      </c>
      <c r="F37" s="35">
        <f t="shared" ref="F37:F43" si="1">E37*C37</f>
        <v>10000</v>
      </c>
    </row>
    <row r="38" spans="1:6" x14ac:dyDescent="0.25">
      <c r="A38" s="31" t="s">
        <v>54</v>
      </c>
      <c r="B38" s="32" t="s">
        <v>52</v>
      </c>
      <c r="C38" s="33">
        <v>3.7499999999999999E-2</v>
      </c>
      <c r="D38" s="34" t="s">
        <v>53</v>
      </c>
      <c r="E38" s="35">
        <f>VLOOKUP(A38,[1]PRECIO!A19:C238,3,0)</f>
        <v>200000</v>
      </c>
      <c r="F38" s="35">
        <f t="shared" si="1"/>
        <v>7500</v>
      </c>
    </row>
    <row r="39" spans="1:6" x14ac:dyDescent="0.25">
      <c r="A39" s="31" t="s">
        <v>55</v>
      </c>
      <c r="B39" s="32" t="s">
        <v>52</v>
      </c>
      <c r="C39" s="33">
        <v>3.7499999999999999E-2</v>
      </c>
      <c r="D39" s="34" t="s">
        <v>37</v>
      </c>
      <c r="E39" s="35">
        <f>VLOOKUP(A39,[1]PRECIO!A20:C239,3,0)</f>
        <v>200000</v>
      </c>
      <c r="F39" s="35">
        <f t="shared" si="1"/>
        <v>7500</v>
      </c>
    </row>
    <row r="40" spans="1:6" x14ac:dyDescent="0.25">
      <c r="A40" s="31" t="s">
        <v>56</v>
      </c>
      <c r="B40" s="32" t="s">
        <v>52</v>
      </c>
      <c r="C40" s="33">
        <v>7.4999999999999997E-2</v>
      </c>
      <c r="D40" s="34" t="s">
        <v>35</v>
      </c>
      <c r="E40" s="35">
        <f>VLOOKUP(A40,[1]PRECIO!A2:C240,3,0)</f>
        <v>200000</v>
      </c>
      <c r="F40" s="35">
        <f t="shared" si="1"/>
        <v>15000</v>
      </c>
    </row>
    <row r="41" spans="1:6" x14ac:dyDescent="0.25">
      <c r="A41" s="31" t="s">
        <v>57</v>
      </c>
      <c r="B41" s="32" t="s">
        <v>52</v>
      </c>
      <c r="C41" s="33">
        <v>2.5000000000000001E-2</v>
      </c>
      <c r="D41" s="34" t="s">
        <v>42</v>
      </c>
      <c r="E41" s="35">
        <f>VLOOKUP(A41,[1]PRECIO!A22:C241,3,0)</f>
        <v>200000</v>
      </c>
      <c r="F41" s="35">
        <f t="shared" si="1"/>
        <v>5000</v>
      </c>
    </row>
    <row r="42" spans="1:6" x14ac:dyDescent="0.25">
      <c r="A42" s="31" t="s">
        <v>58</v>
      </c>
      <c r="B42" s="32" t="s">
        <v>52</v>
      </c>
      <c r="C42" s="33">
        <v>3.7499999999999999E-2</v>
      </c>
      <c r="D42" s="34" t="s">
        <v>35</v>
      </c>
      <c r="E42" s="35">
        <f>VLOOKUP(A42,[1]PRECIO!A2:C242,3,0)</f>
        <v>200000</v>
      </c>
      <c r="F42" s="35">
        <f t="shared" si="1"/>
        <v>7500</v>
      </c>
    </row>
    <row r="43" spans="1:6" x14ac:dyDescent="0.25">
      <c r="A43" s="31" t="s">
        <v>59</v>
      </c>
      <c r="B43" s="32" t="s">
        <v>52</v>
      </c>
      <c r="C43" s="33">
        <v>0.25</v>
      </c>
      <c r="D43" s="34" t="s">
        <v>45</v>
      </c>
      <c r="E43" s="35">
        <f>VLOOKUP(A43,[1]PRECIO!A2:C243,3,0)</f>
        <v>200000</v>
      </c>
      <c r="F43" s="35">
        <f t="shared" si="1"/>
        <v>50000</v>
      </c>
    </row>
    <row r="44" spans="1:6" x14ac:dyDescent="0.25">
      <c r="A44" s="24" t="s">
        <v>60</v>
      </c>
      <c r="B44" s="25"/>
      <c r="C44" s="25"/>
      <c r="D44" s="25"/>
      <c r="E44" s="26"/>
      <c r="F44" s="27">
        <f>SUM(F37:F43)</f>
        <v>102500</v>
      </c>
    </row>
    <row r="45" spans="1:6" x14ac:dyDescent="0.25">
      <c r="E45" s="15"/>
      <c r="F45" s="15"/>
    </row>
    <row r="46" spans="1:6" x14ac:dyDescent="0.25">
      <c r="A46" s="18" t="s">
        <v>61</v>
      </c>
      <c r="E46" s="15"/>
      <c r="F46" s="15"/>
    </row>
    <row r="47" spans="1:6" x14ac:dyDescent="0.25">
      <c r="A47" s="19" t="s">
        <v>61</v>
      </c>
      <c r="B47" s="36" t="s">
        <v>62</v>
      </c>
      <c r="C47" s="36" t="s">
        <v>63</v>
      </c>
      <c r="D47" s="19" t="s">
        <v>30</v>
      </c>
      <c r="E47" s="21" t="s">
        <v>31</v>
      </c>
      <c r="F47" s="21" t="s">
        <v>64</v>
      </c>
    </row>
    <row r="48" spans="1:6" x14ac:dyDescent="0.25">
      <c r="A48" s="37" t="s">
        <v>65</v>
      </c>
      <c r="B48" s="29" t="s">
        <v>66</v>
      </c>
      <c r="C48" s="38">
        <v>9500</v>
      </c>
      <c r="D48" s="29" t="s">
        <v>67</v>
      </c>
      <c r="E48" s="39">
        <f>VLOOKUP(A48,[1]PRECIO!A29:C248,3,0)</f>
        <v>200</v>
      </c>
      <c r="F48" s="39">
        <f>E48*C48</f>
        <v>1900000</v>
      </c>
    </row>
    <row r="49" spans="1:6" x14ac:dyDescent="0.25">
      <c r="A49" s="40" t="s">
        <v>68</v>
      </c>
      <c r="B49" s="29"/>
      <c r="C49" s="29"/>
      <c r="D49" s="29"/>
      <c r="E49" s="39"/>
      <c r="F49" s="39"/>
    </row>
    <row r="50" spans="1:6" x14ac:dyDescent="0.25">
      <c r="A50" s="28" t="s">
        <v>69</v>
      </c>
      <c r="B50" s="29" t="s">
        <v>70</v>
      </c>
      <c r="C50" s="29">
        <v>300</v>
      </c>
      <c r="D50" s="29" t="s">
        <v>37</v>
      </c>
      <c r="E50" s="39">
        <f>VLOOKUP(A50,[1]PRECIO!A31:C250,3,0)</f>
        <v>1600</v>
      </c>
      <c r="F50" s="39">
        <f>E50*C50</f>
        <v>480000</v>
      </c>
    </row>
    <row r="51" spans="1:6" x14ac:dyDescent="0.25">
      <c r="A51" s="31" t="s">
        <v>71</v>
      </c>
      <c r="B51" s="29" t="s">
        <v>72</v>
      </c>
      <c r="C51" s="29">
        <v>8</v>
      </c>
      <c r="D51" s="29" t="s">
        <v>73</v>
      </c>
      <c r="E51" s="39">
        <f>VLOOKUP(A51,[1]PRECIO!A32:C251,3,0)</f>
        <v>32700</v>
      </c>
      <c r="F51" s="39">
        <f>E51*C51</f>
        <v>261600</v>
      </c>
    </row>
    <row r="52" spans="1:6" x14ac:dyDescent="0.25">
      <c r="A52" s="28" t="s">
        <v>74</v>
      </c>
      <c r="B52" s="29" t="s">
        <v>72</v>
      </c>
      <c r="C52" s="38">
        <v>6</v>
      </c>
      <c r="D52" s="29" t="s">
        <v>75</v>
      </c>
      <c r="E52" s="39">
        <f>VLOOKUP(A52,[1]PRECIO!A33:C252,3,0)</f>
        <v>50800</v>
      </c>
      <c r="F52" s="39">
        <f>E52*C52</f>
        <v>304800</v>
      </c>
    </row>
    <row r="53" spans="1:6" x14ac:dyDescent="0.25">
      <c r="A53" s="40" t="s">
        <v>76</v>
      </c>
      <c r="B53" s="29"/>
      <c r="C53" s="29"/>
      <c r="D53" s="29"/>
      <c r="E53" s="39"/>
      <c r="F53" s="39"/>
    </row>
    <row r="54" spans="1:6" x14ac:dyDescent="0.25">
      <c r="A54" s="41" t="s">
        <v>77</v>
      </c>
      <c r="B54" s="29" t="s">
        <v>78</v>
      </c>
      <c r="C54" s="29">
        <v>0.5</v>
      </c>
      <c r="D54" s="38" t="s">
        <v>73</v>
      </c>
      <c r="E54" s="39">
        <f>VLOOKUP(A54,[1]PRECIO!A35:C254,3,0)</f>
        <v>22910</v>
      </c>
      <c r="F54" s="39">
        <f>E54*C54</f>
        <v>11455</v>
      </c>
    </row>
    <row r="55" spans="1:6" x14ac:dyDescent="0.25">
      <c r="A55" s="42" t="s">
        <v>79</v>
      </c>
      <c r="B55" s="29"/>
      <c r="C55" s="29"/>
      <c r="D55" s="38"/>
      <c r="E55" s="39"/>
      <c r="F55" s="39"/>
    </row>
    <row r="56" spans="1:6" x14ac:dyDescent="0.25">
      <c r="A56" s="41" t="s">
        <v>80</v>
      </c>
      <c r="B56" s="29" t="s">
        <v>70</v>
      </c>
      <c r="C56" s="29">
        <v>1</v>
      </c>
      <c r="D56" s="38" t="s">
        <v>73</v>
      </c>
      <c r="E56" s="39">
        <f>VLOOKUP(A56,[1]PRECIO!A37:C256,3,0)</f>
        <v>6962</v>
      </c>
      <c r="F56" s="39">
        <f>E56*C56</f>
        <v>6962</v>
      </c>
    </row>
    <row r="57" spans="1:6" x14ac:dyDescent="0.25">
      <c r="A57" s="43" t="s">
        <v>81</v>
      </c>
      <c r="B57" s="44" t="s">
        <v>70</v>
      </c>
      <c r="C57" s="44">
        <v>2</v>
      </c>
      <c r="D57" s="44" t="s">
        <v>82</v>
      </c>
      <c r="E57" s="45">
        <f>VLOOKUP(A57,[1]PRECIO!A2:C257,3,0)</f>
        <v>70900</v>
      </c>
      <c r="F57" s="46">
        <f>E57*C57</f>
        <v>141800</v>
      </c>
    </row>
    <row r="58" spans="1:6" x14ac:dyDescent="0.25">
      <c r="A58" s="42" t="s">
        <v>83</v>
      </c>
      <c r="B58" s="29"/>
      <c r="C58" s="29"/>
      <c r="D58" s="29"/>
      <c r="E58" s="39"/>
      <c r="F58" s="39"/>
    </row>
    <row r="59" spans="1:6" x14ac:dyDescent="0.25">
      <c r="A59" s="47" t="s">
        <v>84</v>
      </c>
      <c r="B59" s="29" t="s">
        <v>78</v>
      </c>
      <c r="C59" s="29">
        <v>1</v>
      </c>
      <c r="D59" s="38" t="s">
        <v>85</v>
      </c>
      <c r="E59" s="39">
        <f>VLOOKUP(A59,[1]PRECIO!A40:C259,3,0)</f>
        <v>40320</v>
      </c>
      <c r="F59" s="39">
        <f>E59*C59</f>
        <v>40320</v>
      </c>
    </row>
    <row r="60" spans="1:6" x14ac:dyDescent="0.25">
      <c r="A60" s="47" t="s">
        <v>86</v>
      </c>
      <c r="B60" s="29" t="s">
        <v>78</v>
      </c>
      <c r="C60" s="29">
        <v>1</v>
      </c>
      <c r="D60" s="29" t="s">
        <v>73</v>
      </c>
      <c r="E60" s="39">
        <f>VLOOKUP(A60,[1]PRECIO!A41:C260,3,0)</f>
        <v>38240</v>
      </c>
      <c r="F60" s="39">
        <f>E60*C60</f>
        <v>38240</v>
      </c>
    </row>
    <row r="61" spans="1:6" x14ac:dyDescent="0.25">
      <c r="A61" s="24" t="s">
        <v>87</v>
      </c>
      <c r="B61" s="25"/>
      <c r="C61" s="25"/>
      <c r="D61" s="25"/>
      <c r="E61" s="26"/>
      <c r="F61" s="27">
        <f>SUM(F48:F60)</f>
        <v>3185177</v>
      </c>
    </row>
    <row r="62" spans="1:6" x14ac:dyDescent="0.25">
      <c r="E62" s="15"/>
      <c r="F62" s="15"/>
    </row>
    <row r="63" spans="1:6" x14ac:dyDescent="0.25">
      <c r="A63" s="18" t="s">
        <v>88</v>
      </c>
      <c r="E63" s="15"/>
      <c r="F63" s="15"/>
    </row>
    <row r="64" spans="1:6" x14ac:dyDescent="0.25">
      <c r="A64" s="19" t="s">
        <v>89</v>
      </c>
      <c r="B64" s="19" t="s">
        <v>62</v>
      </c>
      <c r="C64" s="19" t="s">
        <v>63</v>
      </c>
      <c r="D64" s="19" t="s">
        <v>30</v>
      </c>
      <c r="E64" s="48" t="s">
        <v>31</v>
      </c>
      <c r="F64" s="21" t="s">
        <v>64</v>
      </c>
    </row>
    <row r="65" spans="1:6" x14ac:dyDescent="0.25">
      <c r="A65" s="41" t="s">
        <v>90</v>
      </c>
      <c r="B65" s="29" t="s">
        <v>91</v>
      </c>
      <c r="C65" s="29">
        <v>3000</v>
      </c>
      <c r="D65" s="29" t="s">
        <v>92</v>
      </c>
      <c r="E65" s="39">
        <f>VLOOKUP(A65,[1]PRECIO!E6:G50,3,0)</f>
        <v>32400</v>
      </c>
      <c r="F65" s="39">
        <f>E65*C65</f>
        <v>97200000</v>
      </c>
    </row>
    <row r="66" spans="1:6" x14ac:dyDescent="0.25">
      <c r="A66" s="24" t="s">
        <v>93</v>
      </c>
      <c r="B66" s="25"/>
      <c r="C66" s="25"/>
      <c r="D66" s="25"/>
      <c r="E66" s="26"/>
      <c r="F66" s="27">
        <f>SUM(F65)</f>
        <v>97200000</v>
      </c>
    </row>
    <row r="67" spans="1:6" x14ac:dyDescent="0.25">
      <c r="E67" s="15"/>
      <c r="F67" s="15"/>
    </row>
    <row r="68" spans="1:6" x14ac:dyDescent="0.25">
      <c r="A68" s="49" t="s">
        <v>94</v>
      </c>
      <c r="B68" s="49"/>
      <c r="C68" s="49"/>
      <c r="D68" s="49"/>
      <c r="E68" s="49"/>
      <c r="F68" s="50">
        <f>SUM(F28+F33+F44+F61+F66)</f>
        <v>101747677</v>
      </c>
    </row>
    <row r="69" spans="1:6" x14ac:dyDescent="0.25">
      <c r="A69" s="51" t="s">
        <v>95</v>
      </c>
      <c r="B69" s="52"/>
      <c r="C69" s="52"/>
      <c r="D69" s="52"/>
      <c r="E69" s="52"/>
      <c r="F69" s="53">
        <f>SUM(F68*5/100)</f>
        <v>5087383.8499999996</v>
      </c>
    </row>
    <row r="70" spans="1:6" x14ac:dyDescent="0.25">
      <c r="A70" s="54" t="s">
        <v>96</v>
      </c>
      <c r="B70" s="54"/>
      <c r="C70" s="54"/>
      <c r="D70" s="54"/>
      <c r="E70" s="54"/>
      <c r="F70" s="55">
        <f>SUM(F68:F69)</f>
        <v>106835060.84999999</v>
      </c>
    </row>
    <row r="71" spans="1:6" x14ac:dyDescent="0.25">
      <c r="A71" s="56" t="s">
        <v>97</v>
      </c>
      <c r="B71" s="56"/>
      <c r="C71" s="56"/>
      <c r="D71" s="56"/>
      <c r="E71" s="56"/>
      <c r="F71" s="57">
        <f>SUM(F12*1)</f>
        <v>8500000</v>
      </c>
    </row>
    <row r="72" spans="1:6" x14ac:dyDescent="0.25">
      <c r="A72" s="54" t="s">
        <v>98</v>
      </c>
      <c r="B72" s="49"/>
      <c r="C72" s="49"/>
      <c r="D72" s="49"/>
      <c r="E72" s="49"/>
      <c r="F72" s="50">
        <f>SUM(F71-F70)</f>
        <v>-98335060.849999994</v>
      </c>
    </row>
    <row r="73" spans="1:6" x14ac:dyDescent="0.25">
      <c r="A73" s="58" t="s">
        <v>99</v>
      </c>
      <c r="B73" s="59"/>
      <c r="C73" s="59"/>
      <c r="D73" s="59"/>
      <c r="E73" s="59"/>
      <c r="F73" s="60"/>
    </row>
    <row r="74" spans="1:6" ht="15.75" thickBot="1" x14ac:dyDescent="0.3">
      <c r="A74" s="61"/>
      <c r="B74" s="59"/>
      <c r="C74" s="59"/>
      <c r="D74" s="59"/>
      <c r="E74" s="59"/>
      <c r="F74" s="60"/>
    </row>
    <row r="75" spans="1:6" x14ac:dyDescent="0.25">
      <c r="A75" s="62" t="s">
        <v>100</v>
      </c>
      <c r="B75" s="63"/>
      <c r="C75" s="63"/>
      <c r="D75" s="63"/>
      <c r="E75" s="64"/>
      <c r="F75" s="60"/>
    </row>
    <row r="76" spans="1:6" x14ac:dyDescent="0.25">
      <c r="A76" s="65" t="s">
        <v>101</v>
      </c>
      <c r="B76" s="66"/>
      <c r="C76" s="66"/>
      <c r="D76" s="66"/>
      <c r="E76" s="67"/>
      <c r="F76" s="60"/>
    </row>
    <row r="77" spans="1:6" x14ac:dyDescent="0.25">
      <c r="A77" s="65" t="s">
        <v>102</v>
      </c>
      <c r="B77" s="66"/>
      <c r="C77" s="66"/>
      <c r="D77" s="66"/>
      <c r="E77" s="67"/>
      <c r="F77" s="60"/>
    </row>
    <row r="78" spans="1:6" x14ac:dyDescent="0.25">
      <c r="A78" s="65" t="s">
        <v>103</v>
      </c>
      <c r="B78" s="66"/>
      <c r="C78" s="66"/>
      <c r="D78" s="66"/>
      <c r="E78" s="67"/>
      <c r="F78" s="60"/>
    </row>
    <row r="79" spans="1:6" x14ac:dyDescent="0.25">
      <c r="A79" s="65" t="s">
        <v>104</v>
      </c>
      <c r="B79" s="66"/>
      <c r="C79" s="66"/>
      <c r="D79" s="66"/>
      <c r="E79" s="67"/>
      <c r="F79" s="60"/>
    </row>
    <row r="80" spans="1:6" x14ac:dyDescent="0.25">
      <c r="A80" s="65" t="s">
        <v>105</v>
      </c>
      <c r="B80" s="66"/>
      <c r="C80" s="66"/>
      <c r="D80" s="66"/>
      <c r="E80" s="67"/>
      <c r="F80" s="60"/>
    </row>
    <row r="81" spans="1:6" ht="15.75" thickBot="1" x14ac:dyDescent="0.3">
      <c r="A81" s="68" t="s">
        <v>106</v>
      </c>
      <c r="B81" s="69"/>
      <c r="C81" s="69"/>
      <c r="D81" s="69"/>
      <c r="E81" s="70"/>
      <c r="F81" s="60"/>
    </row>
    <row r="82" spans="1:6" ht="15.75" thickBot="1" x14ac:dyDescent="0.3">
      <c r="A82" s="71"/>
      <c r="B82" s="66"/>
      <c r="C82" s="66"/>
      <c r="D82" s="66"/>
      <c r="E82" s="66"/>
      <c r="F82" s="60"/>
    </row>
    <row r="83" spans="1:6" ht="15.75" thickBot="1" x14ac:dyDescent="0.3">
      <c r="A83" s="72" t="s">
        <v>107</v>
      </c>
      <c r="B83" s="73"/>
      <c r="C83" s="74"/>
      <c r="D83" s="75"/>
      <c r="E83" s="75"/>
      <c r="F83" s="60"/>
    </row>
    <row r="84" spans="1:6" x14ac:dyDescent="0.25">
      <c r="A84" s="76" t="s">
        <v>108</v>
      </c>
      <c r="B84" s="77" t="s">
        <v>109</v>
      </c>
      <c r="C84" s="78" t="s">
        <v>110</v>
      </c>
      <c r="D84" s="75"/>
      <c r="E84" s="75"/>
      <c r="F84" s="60"/>
    </row>
    <row r="85" spans="1:6" x14ac:dyDescent="0.25">
      <c r="A85" s="79" t="s">
        <v>111</v>
      </c>
      <c r="B85" s="80">
        <f>F28</f>
        <v>1260000</v>
      </c>
      <c r="C85" s="81">
        <f>(B85/B91)</f>
        <v>1.1793881053421986E-2</v>
      </c>
      <c r="D85" s="75"/>
      <c r="E85" s="75"/>
      <c r="F85" s="60"/>
    </row>
    <row r="86" spans="1:6" x14ac:dyDescent="0.25">
      <c r="A86" s="79" t="s">
        <v>112</v>
      </c>
      <c r="B86" s="82">
        <f>F33</f>
        <v>0</v>
      </c>
      <c r="C86" s="81">
        <v>0</v>
      </c>
      <c r="D86" s="75"/>
      <c r="E86" s="75"/>
      <c r="F86" s="60"/>
    </row>
    <row r="87" spans="1:6" x14ac:dyDescent="0.25">
      <c r="A87" s="79" t="s">
        <v>113</v>
      </c>
      <c r="B87" s="80">
        <f>F44</f>
        <v>102500</v>
      </c>
      <c r="C87" s="81">
        <f>(B87/B91)</f>
        <v>9.594228634728204E-4</v>
      </c>
      <c r="D87" s="75"/>
      <c r="E87" s="75"/>
      <c r="F87" s="60"/>
    </row>
    <row r="88" spans="1:6" x14ac:dyDescent="0.25">
      <c r="A88" s="79" t="s">
        <v>114</v>
      </c>
      <c r="B88" s="80">
        <f>F61</f>
        <v>3185177</v>
      </c>
      <c r="C88" s="81">
        <f>(B88/B91)</f>
        <v>2.9813967200075783E-2</v>
      </c>
      <c r="D88" s="75"/>
      <c r="E88" s="75"/>
      <c r="F88" s="60"/>
    </row>
    <row r="89" spans="1:6" x14ac:dyDescent="0.25">
      <c r="A89" s="79" t="s">
        <v>115</v>
      </c>
      <c r="B89" s="83">
        <f>F66</f>
        <v>97200000</v>
      </c>
      <c r="C89" s="81">
        <f>(B89/B91)</f>
        <v>0.90981368126398188</v>
      </c>
      <c r="D89" s="84"/>
      <c r="E89" s="84"/>
      <c r="F89" s="60"/>
    </row>
    <row r="90" spans="1:6" x14ac:dyDescent="0.25">
      <c r="A90" s="79" t="s">
        <v>116</v>
      </c>
      <c r="B90" s="83">
        <f>F69</f>
        <v>5087383.8499999996</v>
      </c>
      <c r="C90" s="81">
        <f>(B90/B91)</f>
        <v>4.7619047619047616E-2</v>
      </c>
      <c r="D90" s="84"/>
      <c r="E90" s="84"/>
      <c r="F90" s="60"/>
    </row>
    <row r="91" spans="1:6" ht="15.75" thickBot="1" x14ac:dyDescent="0.3">
      <c r="A91" s="85" t="s">
        <v>117</v>
      </c>
      <c r="B91" s="86">
        <f>SUM(B85:B90)</f>
        <v>106835060.84999999</v>
      </c>
      <c r="C91" s="87">
        <f>SUM(C85:C90)</f>
        <v>1</v>
      </c>
      <c r="D91" s="84"/>
      <c r="E91" s="84"/>
      <c r="F91" s="60"/>
    </row>
    <row r="92" spans="1:6" x14ac:dyDescent="0.25">
      <c r="A92" s="61"/>
      <c r="B92" s="59"/>
      <c r="C92" s="59"/>
      <c r="D92" s="59"/>
      <c r="E92" s="59"/>
      <c r="F92" s="60"/>
    </row>
    <row r="93" spans="1:6" ht="15.75" thickBot="1" x14ac:dyDescent="0.3">
      <c r="A93" s="88"/>
      <c r="B93" s="59"/>
      <c r="C93" s="59"/>
      <c r="D93" s="59"/>
      <c r="E93" s="59"/>
      <c r="F93" s="60"/>
    </row>
    <row r="94" spans="1:6" ht="15.75" thickBot="1" x14ac:dyDescent="0.3">
      <c r="A94" s="89"/>
      <c r="B94" s="73" t="s">
        <v>118</v>
      </c>
      <c r="C94" s="90"/>
      <c r="D94" s="91"/>
      <c r="E94" s="84"/>
      <c r="F94" s="60"/>
    </row>
    <row r="95" spans="1:6" x14ac:dyDescent="0.25">
      <c r="A95" s="92" t="s">
        <v>119</v>
      </c>
      <c r="B95" s="93">
        <v>28</v>
      </c>
      <c r="C95" s="93">
        <v>30</v>
      </c>
      <c r="D95" s="94">
        <v>35</v>
      </c>
      <c r="E95" s="95"/>
      <c r="F95" s="96"/>
    </row>
    <row r="96" spans="1:6" ht="15.75" thickBot="1" x14ac:dyDescent="0.3">
      <c r="A96" s="85" t="s">
        <v>120</v>
      </c>
      <c r="B96" s="86">
        <f>(F70/B95)</f>
        <v>3815537.8874999997</v>
      </c>
      <c r="C96" s="86">
        <f>(F70/C95)</f>
        <v>3561168.6949999998</v>
      </c>
      <c r="D96" s="97">
        <f>(F70/D95)</f>
        <v>3052430.31</v>
      </c>
      <c r="E96" s="95"/>
      <c r="F96" s="96"/>
    </row>
    <row r="97" spans="1:6" x14ac:dyDescent="0.25">
      <c r="A97" s="98" t="s">
        <v>121</v>
      </c>
      <c r="B97" s="66"/>
      <c r="C97" s="66"/>
      <c r="D97" s="66"/>
      <c r="E97" s="66"/>
      <c r="F97" s="66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888FE0-F2B0-40EE-B6C7-54D5A2F94A66}"/>
</file>

<file path=customXml/itemProps2.xml><?xml version="1.0" encoding="utf-8"?>
<ds:datastoreItem xmlns:ds="http://schemas.openxmlformats.org/officeDocument/2006/customXml" ds:itemID="{B79C9014-362B-4D4E-80F0-854890CDA89E}"/>
</file>

<file path=customXml/itemProps3.xml><?xml version="1.0" encoding="utf-8"?>
<ds:datastoreItem xmlns:ds="http://schemas.openxmlformats.org/officeDocument/2006/customXml" ds:itemID="{CFA91751-C97B-49BD-9475-4F409FF83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2023-04-13T14:20:06Z</dcterms:created>
  <dcterms:modified xsi:type="dcterms:W3CDTF">2023-04-13T14:20:27Z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