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QUILLOTA\"/>
    </mc:Choice>
  </mc:AlternateContent>
  <bookViews>
    <workbookView xWindow="0" yWindow="0" windowWidth="28800" windowHeight="11475"/>
  </bookViews>
  <sheets>
    <sheet name="TOMATE INVERNADERO" sheetId="1" r:id="rId1"/>
    <sheet name="TOMATE INVERNADERO JUNIO 2022" sheetId="2" state="hidden" r:id="rId2"/>
    <sheet name="RESUMEN " sheetId="5" state="hidden" r:id="rId3"/>
  </sheets>
  <definedNames>
    <definedName name="_xlnm.Print_Area" localSheetId="2">'RESUMEN '!$A$1:$G$28</definedName>
    <definedName name="_xlnm.Print_Area" localSheetId="0">'TOMATE INVERNADERO'!$B$1:$G$154</definedName>
    <definedName name="_xlnm.Print_Area" localSheetId="1">'TOMATE INVERNADERO JUNIO 2022'!$B$1:$G$156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C22" i="5" l="1"/>
  <c r="G121" i="1"/>
  <c r="G118" i="2"/>
  <c r="C5" i="5"/>
  <c r="E22" i="5"/>
  <c r="E14" i="5"/>
  <c r="F43" i="1"/>
  <c r="D43" i="1"/>
  <c r="G69" i="1"/>
  <c r="F115" i="1"/>
  <c r="G115" i="1" s="1"/>
  <c r="F114" i="1"/>
  <c r="G114" i="1" s="1"/>
  <c r="F113" i="1"/>
  <c r="G113" i="1" s="1"/>
  <c r="F112" i="1"/>
  <c r="G112" i="1" s="1"/>
  <c r="G116" i="1"/>
  <c r="F111" i="1"/>
  <c r="G111" i="1" s="1"/>
  <c r="F110" i="1"/>
  <c r="G110" i="1" s="1"/>
  <c r="G94" i="1"/>
  <c r="D53" i="1"/>
  <c r="G53" i="1" s="1"/>
  <c r="F90" i="1"/>
  <c r="F108" i="1"/>
  <c r="G108" i="1" s="1"/>
  <c r="F93" i="1"/>
  <c r="G105" i="1"/>
  <c r="G93" i="1" l="1"/>
  <c r="G109" i="1"/>
  <c r="G62" i="1" l="1"/>
  <c r="D148" i="2"/>
  <c r="C139" i="2"/>
  <c r="G119" i="2"/>
  <c r="C142" i="2" s="1"/>
  <c r="F112" i="2"/>
  <c r="G112" i="2" s="1"/>
  <c r="D112" i="2"/>
  <c r="F111" i="2"/>
  <c r="G111" i="2" s="1"/>
  <c r="G110" i="2"/>
  <c r="F109" i="2"/>
  <c r="G109" i="2" s="1"/>
  <c r="G107" i="2"/>
  <c r="F106" i="2"/>
  <c r="G106" i="2" s="1"/>
  <c r="F105" i="2"/>
  <c r="G105" i="2" s="1"/>
  <c r="G104" i="2"/>
  <c r="F104" i="2"/>
  <c r="F103" i="2"/>
  <c r="G103" i="2" s="1"/>
  <c r="F102" i="2"/>
  <c r="G102" i="2" s="1"/>
  <c r="G101" i="2"/>
  <c r="F101" i="2"/>
  <c r="F100" i="2"/>
  <c r="G100" i="2" s="1"/>
  <c r="F95" i="2"/>
  <c r="G95" i="2" s="1"/>
  <c r="G94" i="2"/>
  <c r="F93" i="2"/>
  <c r="G93" i="2" s="1"/>
  <c r="F92" i="2"/>
  <c r="G92" i="2" s="1"/>
  <c r="F91" i="2"/>
  <c r="G91" i="2" s="1"/>
  <c r="F90" i="2"/>
  <c r="G90" i="2" s="1"/>
  <c r="F87" i="2"/>
  <c r="G87" i="2" s="1"/>
  <c r="F86" i="2"/>
  <c r="G86" i="2" s="1"/>
  <c r="F85" i="2"/>
  <c r="G85" i="2" s="1"/>
  <c r="G84" i="2"/>
  <c r="F83" i="2"/>
  <c r="G83" i="2" s="1"/>
  <c r="G82" i="2"/>
  <c r="F82" i="2"/>
  <c r="F81" i="2"/>
  <c r="G81" i="2" s="1"/>
  <c r="F80" i="2"/>
  <c r="G80" i="2" s="1"/>
  <c r="G79" i="2"/>
  <c r="F78" i="2"/>
  <c r="G78" i="2" s="1"/>
  <c r="F77" i="2"/>
  <c r="G77" i="2" s="1"/>
  <c r="G76" i="2"/>
  <c r="G73" i="2"/>
  <c r="G71" i="2"/>
  <c r="F70" i="2"/>
  <c r="G70" i="2" s="1"/>
  <c r="F69" i="2"/>
  <c r="G69" i="2" s="1"/>
  <c r="G67" i="2"/>
  <c r="F67" i="2"/>
  <c r="G66" i="2"/>
  <c r="G65" i="2"/>
  <c r="F64" i="2"/>
  <c r="G64" i="2" s="1"/>
  <c r="G63" i="2"/>
  <c r="F63" i="2"/>
  <c r="F62" i="2"/>
  <c r="G62" i="2" s="1"/>
  <c r="F61" i="2"/>
  <c r="G61" i="2" s="1"/>
  <c r="G60" i="2"/>
  <c r="F60" i="2"/>
  <c r="D59" i="2"/>
  <c r="G59" i="2" s="1"/>
  <c r="D53" i="2"/>
  <c r="G53" i="2" s="1"/>
  <c r="F52" i="2"/>
  <c r="D52" i="2"/>
  <c r="G52" i="2" s="1"/>
  <c r="G54" i="2" s="1"/>
  <c r="C140" i="2" s="1"/>
  <c r="G42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2" i="2"/>
  <c r="G43" i="2" s="1"/>
  <c r="G12" i="2"/>
  <c r="G124" i="2" s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2" i="1"/>
  <c r="D52" i="1"/>
  <c r="F52" i="1"/>
  <c r="D59" i="1"/>
  <c r="G59" i="1" s="1"/>
  <c r="G60" i="1"/>
  <c r="G61" i="1"/>
  <c r="G63" i="1"/>
  <c r="G64" i="1"/>
  <c r="G65" i="1"/>
  <c r="G66" i="1"/>
  <c r="G67" i="1"/>
  <c r="F106" i="1"/>
  <c r="G106" i="1" s="1"/>
  <c r="G70" i="1"/>
  <c r="G72" i="1"/>
  <c r="G75" i="1"/>
  <c r="G76" i="1"/>
  <c r="G77" i="1"/>
  <c r="G78" i="1"/>
  <c r="G79" i="1"/>
  <c r="G80" i="1"/>
  <c r="G81" i="1"/>
  <c r="G82" i="1"/>
  <c r="G83" i="1"/>
  <c r="G84" i="1"/>
  <c r="G87" i="1"/>
  <c r="G88" i="1"/>
  <c r="G89" i="1"/>
  <c r="G90" i="1"/>
  <c r="G91" i="1"/>
  <c r="G92" i="1"/>
  <c r="G96" i="1"/>
  <c r="G97" i="1"/>
  <c r="G98" i="1"/>
  <c r="G99" i="1"/>
  <c r="G101" i="1"/>
  <c r="G102" i="1"/>
  <c r="G103" i="1"/>
  <c r="D104" i="1"/>
  <c r="G104" i="1" s="1"/>
  <c r="G122" i="1"/>
  <c r="C145" i="1" s="1"/>
  <c r="C142" i="1"/>
  <c r="E9" i="5" l="1"/>
  <c r="G127" i="1"/>
  <c r="C6" i="5"/>
  <c r="D27" i="5"/>
  <c r="G117" i="1"/>
  <c r="G43" i="1"/>
  <c r="C141" i="1" s="1"/>
  <c r="G52" i="1"/>
  <c r="G114" i="2"/>
  <c r="C141" i="2" s="1"/>
  <c r="C138" i="2"/>
  <c r="G54" i="1" l="1"/>
  <c r="C143" i="1" s="1"/>
  <c r="E13" i="5"/>
  <c r="D24" i="5" s="1"/>
  <c r="D25" i="5" s="1"/>
  <c r="D26" i="5" s="1"/>
  <c r="D28" i="5" s="1"/>
  <c r="C144" i="1"/>
  <c r="G121" i="2"/>
  <c r="G122" i="2" s="1"/>
  <c r="G124" i="1" l="1"/>
  <c r="G125" i="1" s="1"/>
  <c r="G126" i="1" s="1"/>
  <c r="G128" i="1" s="1"/>
  <c r="G123" i="2"/>
  <c r="C143" i="2"/>
  <c r="C146" i="1" l="1"/>
  <c r="C147" i="1" s="1"/>
  <c r="C144" i="2"/>
  <c r="D149" i="2"/>
  <c r="E149" i="2"/>
  <c r="C149" i="2"/>
  <c r="G125" i="2"/>
  <c r="D146" i="1" l="1"/>
  <c r="D152" i="1"/>
  <c r="C152" i="1"/>
  <c r="E152" i="1"/>
  <c r="D140" i="2"/>
  <c r="D142" i="2"/>
  <c r="D141" i="2"/>
  <c r="D138" i="2"/>
  <c r="D143" i="2"/>
  <c r="D143" i="1"/>
  <c r="D145" i="1"/>
  <c r="D141" i="1"/>
  <c r="D144" i="1"/>
  <c r="D147" i="1" l="1"/>
  <c r="D144" i="2"/>
</calcChain>
</file>

<file path=xl/sharedStrings.xml><?xml version="1.0" encoding="utf-8"?>
<sst xmlns="http://schemas.openxmlformats.org/spreadsheetml/2006/main" count="648" uniqueCount="213">
  <si>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</si>
  <si>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</si>
  <si>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</si>
  <si>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</si>
  <si>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</si>
  <si>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</si>
  <si>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</si>
  <si>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</si>
  <si>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</si>
  <si>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</si>
  <si>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</si>
  <si>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</si>
  <si>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</si>
  <si>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</si>
  <si>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</si>
  <si>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</si>
  <si>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</si>
  <si>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</si>
  <si>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</si>
  <si>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</si>
  <si>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</si>
  <si>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</si>
  <si>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</si>
  <si>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</si>
  <si>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</si>
  <si>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</si>
  <si>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</si>
  <si>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</si>
  <si>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</si>
  <si>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</si>
  <si>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</si>
  <si>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</si>
  <si>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</si>
  <si>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</si>
  <si>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</si>
  <si>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</si>
  <si>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</si>
  <si>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</si>
  <si>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</si>
  <si>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</si>
  <si>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</si>
  <si>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</si>
  <si>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</si>
  <si>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</si>
  <si>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</si>
  <si>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</si>
  <si>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</si>
  <si>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</si>
  <si>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</si>
  <si>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</si>
  <si>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</si>
  <si>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</si>
  <si>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</si>
  <si>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</si>
  <si>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</si>
  <si>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</si>
  <si>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</si>
  <si>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</si>
  <si>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</si>
  <si>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</si>
  <si>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</si>
  <si>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Sept</t>
  </si>
  <si>
    <t>Todas las comunas</t>
  </si>
  <si>
    <t xml:space="preserve">TOMATE INVERNADERO </t>
  </si>
  <si>
    <t>VALPARAISO</t>
  </si>
  <si>
    <t>RENDIMIENTO (Kg/ha)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</si>
  <si>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</si>
  <si>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</si>
  <si>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</si>
  <si>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</si>
  <si>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</si>
  <si>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</si>
  <si>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</si>
  <si>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</si>
  <si>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 xml:space="preserve">Tumbar plantas hacia cada lado </t>
  </si>
  <si>
    <t>Julio</t>
  </si>
  <si>
    <t>Arreglo de racimo</t>
  </si>
  <si>
    <t>Sept-nov</t>
  </si>
  <si>
    <t xml:space="preserve">Despeje de racimos </t>
  </si>
  <si>
    <t>Sept-oct</t>
  </si>
  <si>
    <t xml:space="preserve">Conducción, amarra, poda </t>
  </si>
  <si>
    <t xml:space="preserve">Aplicación Fitosanitarios </t>
  </si>
  <si>
    <t>Jun-Dic</t>
  </si>
  <si>
    <t>Fertirriego</t>
  </si>
  <si>
    <t>Jul-Dic</t>
  </si>
  <si>
    <t>Ventilación</t>
  </si>
  <si>
    <t>Eliminación doble techo</t>
  </si>
  <si>
    <t>Limpieza pasillos</t>
  </si>
  <si>
    <t>Arranca de plantas y raspado de pasillos</t>
  </si>
  <si>
    <t>Dic</t>
  </si>
  <si>
    <t>Eliminación de rastrojo</t>
  </si>
  <si>
    <t>N/A</t>
  </si>
  <si>
    <t>horas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</si>
  <si>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</si>
  <si>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</si>
  <si>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</si>
  <si>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</si>
  <si>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</si>
  <si>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</si>
  <si>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</si>
  <si>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</si>
  <si>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</si>
  <si>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</si>
  <si>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</si>
  <si>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</si>
  <si>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</si>
  <si>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</si>
  <si>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Sulfato de potasio soluble</t>
  </si>
  <si>
    <t>Sulfato ferroso</t>
  </si>
  <si>
    <t xml:space="preserve">Acido fosforico </t>
  </si>
  <si>
    <t>Sep-Dic</t>
  </si>
  <si>
    <t>Kelpak</t>
  </si>
  <si>
    <t>Proclaim</t>
  </si>
  <si>
    <t>Hurricane</t>
  </si>
  <si>
    <t>Coragen</t>
  </si>
  <si>
    <t>Evisect</t>
  </si>
  <si>
    <t>Applaud</t>
  </si>
  <si>
    <t>Previcur Energy</t>
  </si>
  <si>
    <t>Bellis</t>
  </si>
  <si>
    <t>Ago-Oct</t>
  </si>
  <si>
    <t>Luna Experience</t>
  </si>
  <si>
    <t>Nov-Dic</t>
  </si>
  <si>
    <t>Goldazim</t>
  </si>
  <si>
    <t>Switch</t>
  </si>
  <si>
    <t>Mastercop</t>
  </si>
  <si>
    <t>Ago-Sept</t>
  </si>
  <si>
    <t>oct- dic</t>
  </si>
  <si>
    <t>Mercado Mayorista</t>
  </si>
  <si>
    <t xml:space="preserve">Heladas - sequia </t>
  </si>
  <si>
    <t>INSECTICIDAS</t>
  </si>
  <si>
    <t xml:space="preserve">FUNGICIDAS </t>
  </si>
  <si>
    <t>Energia electrica</t>
  </si>
  <si>
    <t>Global</t>
  </si>
  <si>
    <t>Jun-dic</t>
  </si>
  <si>
    <t>Agosto</t>
  </si>
  <si>
    <t xml:space="preserve">Tiras pegajosas adhesivas amarillas </t>
  </si>
  <si>
    <t>Rendimiento (kg/hà)</t>
  </si>
  <si>
    <t>Costo unitario ($/kg) (*)</t>
  </si>
  <si>
    <t>LT</t>
  </si>
  <si>
    <t>ESCENARIOS COSTO UNITARIO  ($/KG)</t>
  </si>
  <si>
    <t xml:space="preserve">Cosecha </t>
  </si>
  <si>
    <t>KG</t>
  </si>
  <si>
    <t>OCTUBRE Y MARZO</t>
  </si>
  <si>
    <t>Azufre Mojable</t>
  </si>
  <si>
    <t>Plantines tomate Alamina/ Kayser (injertado)</t>
  </si>
  <si>
    <t>ALAMINA</t>
  </si>
  <si>
    <t>MEDIO</t>
  </si>
  <si>
    <t xml:space="preserve">MANO DE OBRA COSECHA </t>
  </si>
  <si>
    <t>MANO DE OBRA SELECCIÓN/EMABALAJE</t>
  </si>
  <si>
    <t>PESTICIDAS</t>
  </si>
  <si>
    <t xml:space="preserve">PLANTAS INJERTADAS </t>
  </si>
  <si>
    <t>CUBIIERTA PLASTICA</t>
  </si>
  <si>
    <t xml:space="preserve">Nacilus </t>
  </si>
  <si>
    <t>Jabon potasico</t>
  </si>
  <si>
    <t>INSECTOS AUXILIARES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</si>
  <si>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</si>
  <si>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 xml:space="preserve">Feromonas </t>
  </si>
  <si>
    <t>rollo 0,3 m x 100 m</t>
  </si>
  <si>
    <t>un</t>
  </si>
  <si>
    <t>PRECIO ESPERADO ($/Kg)</t>
  </si>
  <si>
    <t>unidad</t>
  </si>
  <si>
    <t>Ventanas 2 temporadas 0,15 mic (amortizado en 3 cultivos)</t>
  </si>
  <si>
    <t xml:space="preserve">Lucarnas 0,10 mc (amortizado en 2 cultivo) </t>
  </si>
  <si>
    <t>unidades</t>
  </si>
  <si>
    <t>Rollo Malla raschell negra 50%. 2,10x100 mt (amortizado en 8 cultivos)</t>
  </si>
  <si>
    <t>RIEGO</t>
  </si>
  <si>
    <t>global</t>
  </si>
  <si>
    <t>Profundizacion pozos  (amortizado en 8 cultivos)</t>
  </si>
  <si>
    <t>Diciembre</t>
  </si>
  <si>
    <t xml:space="preserve">Amortización (2 cultivos) Preparación de suelo (Rastra + Tiller + mesero) </t>
  </si>
  <si>
    <t>Colmena Abejorros</t>
  </si>
  <si>
    <t>Junio-julio</t>
  </si>
  <si>
    <t>lt</t>
  </si>
  <si>
    <t>oct-dic</t>
  </si>
  <si>
    <t>Amortizacion ( 3 cultivos) Instalación de cubierta plástica y malla antiafido</t>
  </si>
  <si>
    <t>PREPARACIÓN DE INVERNADEROS</t>
  </si>
  <si>
    <t xml:space="preserve">Cinta de riego 20 cm (amortizada en 2 cultivos) </t>
  </si>
  <si>
    <t>Amortización (3 cultivos)Polietileno 2 T 4 m  x 150 micrones</t>
  </si>
  <si>
    <t>Canaleta 2 temporadas 200 micrones (amortizado en 3 cultivos)</t>
  </si>
  <si>
    <t>Cortinas 2 temporadas 150 micrones  (amortizado en 3  cultivos)</t>
  </si>
  <si>
    <t xml:space="preserve">Selección embalaje </t>
  </si>
  <si>
    <t>MANO DE OBRA LABORES DEL CULTIVO</t>
  </si>
  <si>
    <t>Rollo Malla antiafidos 20/10 2 mtX100 mt (amortizado en 8 cultivos)</t>
  </si>
  <si>
    <t xml:space="preserve">Doble Techo 1 temporada 4 mt x 40 micrones (amortizado en 2 cultivos) </t>
  </si>
  <si>
    <t>Mulch negro-blanco  2 temporadas 1,2 m x 20 micrones x 1000 metros (amortizado en 2 cultivos)</t>
  </si>
  <si>
    <r>
      <t xml:space="preserve"> Amortizacion ( 2 cultivos)  </t>
    </r>
    <r>
      <rPr>
        <b/>
        <sz val="8"/>
        <color rgb="FF000000"/>
        <rFont val="Arial Narrow"/>
        <family val="2"/>
      </rPr>
      <t xml:space="preserve">Fumigacion de suelo </t>
    </r>
    <r>
      <rPr>
        <sz val="8"/>
        <color indexed="8"/>
        <rFont val="Arial Narrow"/>
        <family val="2"/>
      </rPr>
      <t>+ colocacion mulch (tractor)*</t>
    </r>
  </si>
  <si>
    <t xml:space="preserve">LIMACHE </t>
  </si>
  <si>
    <t>ENVIVO</t>
  </si>
  <si>
    <t>trampas negras pegajosas para polilla 40*25 cm</t>
  </si>
  <si>
    <t>verango</t>
  </si>
  <si>
    <t>BIOINSUMOS</t>
  </si>
  <si>
    <t>Agrolawen  (EM-1)</t>
  </si>
  <si>
    <t>QL-AGRI</t>
  </si>
  <si>
    <t>zunfire</t>
  </si>
  <si>
    <t>Trrichoforte</t>
  </si>
  <si>
    <t>Grandevo</t>
  </si>
  <si>
    <t>botector</t>
  </si>
  <si>
    <t>costar use</t>
  </si>
  <si>
    <t>agrocooper</t>
  </si>
  <si>
    <t>baciforte</t>
  </si>
  <si>
    <t>Mulch CAFE  2 temporadas 1,2 m x 20 micrones x 1000 metros (amortizado en 2 cultivos)</t>
  </si>
  <si>
    <t>ALAMINA-MONTOYA-ANTUMAY-INJERTADOS</t>
  </si>
  <si>
    <t>Mayo-dic</t>
  </si>
  <si>
    <t xml:space="preserve">MAQUINARIA </t>
  </si>
  <si>
    <t xml:space="preserve">OTROS </t>
  </si>
  <si>
    <t xml:space="preserve">PREPARACIÓN DE INVERNADEROS
 (18 JORNADAS) </t>
  </si>
  <si>
    <t>MANO DE OBRA LABORES DEL CULTIVO
(527 JORNADAS)</t>
  </si>
  <si>
    <t>MANO DE OBRA COSECHA 
(112 JORNADAS )</t>
  </si>
  <si>
    <t xml:space="preserve">MANO DE OBRA SELECCIÓN/EMABALAJE
(56 JORNADAS) </t>
  </si>
  <si>
    <t xml:space="preserve">MANO DE OBRA
713 JORNADAS TOTALES </t>
  </si>
  <si>
    <r>
      <t xml:space="preserve">INSUMOS PARA </t>
    </r>
    <r>
      <rPr>
        <sz val="11"/>
        <color rgb="FF000000"/>
        <rFont val="Arial"/>
        <family val="2"/>
      </rPr>
      <t>MIP</t>
    </r>
  </si>
  <si>
    <t>Energia electrica para riego</t>
  </si>
  <si>
    <t>QUILLOTA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</si>
</sst>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3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9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8" fillId="0" borderId="20"/>
    <xf numFmtId="0" fontId="21" fillId="0" borderId="20" applyNumberFormat="0" applyFill="0" applyBorder="0" applyProtection="0"/>
    <xf numFmtId="165" fontId="21" fillId="0" borderId="20" applyFont="0" applyFill="0" applyBorder="0" applyAlignment="0" applyProtection="0"/>
    <xf numFmtId="9" fontId="21" fillId="0" borderId="20" applyFont="0" applyFill="0" applyBorder="0" applyAlignment="0" applyProtection="0"/>
    <xf numFmtId="16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5" fontId="28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6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49" fontId="12" fillId="7" borderId="34" xfId="0" applyNumberFormat="1" applyFont="1" applyFill="1" applyBorder="1" applyAlignment="1">
      <alignment vertical="center"/>
    </xf>
    <xf numFmtId="167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vertical="center"/>
    </xf>
    <xf numFmtId="0" fontId="14" fillId="2" borderId="38" xfId="0" applyFont="1" applyFill="1" applyBorder="1"/>
    <xf numFmtId="0" fontId="14" fillId="2" borderId="39" xfId="0" applyFont="1" applyFill="1" applyBorder="1"/>
    <xf numFmtId="49" fontId="14" fillId="2" borderId="40" xfId="0" applyNumberFormat="1" applyFont="1" applyFill="1" applyBorder="1" applyAlignment="1">
      <alignment vertical="center"/>
    </xf>
    <xf numFmtId="0" fontId="14" fillId="2" borderId="41" xfId="0" applyFont="1" applyFill="1" applyBorder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/>
    <xf numFmtId="0" fontId="14" fillId="2" borderId="44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5" xfId="0" applyNumberFormat="1" applyFont="1" applyFill="1" applyBorder="1" applyAlignment="1">
      <alignment vertical="center"/>
    </xf>
    <xf numFmtId="167" fontId="12" fillId="7" borderId="36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47" xfId="0" applyNumberFormat="1" applyFont="1" applyFill="1" applyBorder="1" applyAlignment="1">
      <alignment horizontal="center"/>
    </xf>
    <xf numFmtId="49" fontId="1" fillId="3" borderId="48" xfId="0" applyNumberFormat="1" applyFont="1" applyFill="1" applyBorder="1" applyAlignment="1">
      <alignment horizontal="center" vertical="center" wrapText="1"/>
    </xf>
    <xf numFmtId="0" fontId="4" fillId="2" borderId="47" xfId="0" applyNumberFormat="1" applyFont="1" applyFill="1" applyBorder="1" applyAlignment="1">
      <alignment horizontal="center"/>
    </xf>
    <xf numFmtId="3" fontId="4" fillId="2" borderId="47" xfId="0" applyNumberFormat="1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48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6" fontId="1" fillId="2" borderId="20" xfId="0" applyNumberFormat="1" applyFont="1" applyFill="1" applyBorder="1" applyAlignment="1">
      <alignment horizontal="right" vertical="center"/>
    </xf>
    <xf numFmtId="166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48" xfId="0" applyNumberFormat="1" applyFont="1" applyFill="1" applyBorder="1" applyAlignment="1">
      <alignment horizontal="center" vertical="center"/>
    </xf>
    <xf numFmtId="0" fontId="2" fillId="2" borderId="49" xfId="0" applyFont="1" applyFill="1" applyBorder="1"/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3" fontId="2" fillId="2" borderId="50" xfId="0" applyNumberFormat="1" applyFont="1" applyFill="1" applyBorder="1"/>
    <xf numFmtId="3" fontId="2" fillId="2" borderId="50" xfId="0" applyNumberFormat="1" applyFont="1" applyFill="1" applyBorder="1" applyAlignment="1">
      <alignment horizontal="right"/>
    </xf>
    <xf numFmtId="49" fontId="8" fillId="3" borderId="47" xfId="0" applyNumberFormat="1" applyFont="1" applyFill="1" applyBorder="1" applyAlignment="1">
      <alignment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vertical="center"/>
    </xf>
    <xf numFmtId="3" fontId="12" fillId="7" borderId="4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47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19" fillId="0" borderId="54" xfId="1" applyNumberFormat="1" applyFont="1" applyBorder="1" applyAlignment="1">
      <alignment horizontal="right" vertical="center"/>
    </xf>
    <xf numFmtId="49" fontId="20" fillId="2" borderId="47" xfId="0" applyNumberFormat="1" applyFont="1" applyFill="1" applyBorder="1" applyAlignment="1">
      <alignment horizontal="left" vertical="center" wrapText="1"/>
    </xf>
    <xf numFmtId="49" fontId="20" fillId="2" borderId="47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right" vertical="center"/>
    </xf>
    <xf numFmtId="49" fontId="20" fillId="2" borderId="6" xfId="0" applyNumberFormat="1" applyFont="1" applyFill="1" applyBorder="1" applyAlignment="1">
      <alignment wrapText="1"/>
    </xf>
    <xf numFmtId="0" fontId="23" fillId="9" borderId="54" xfId="2" applyFont="1" applyFill="1" applyBorder="1" applyAlignment="1">
      <alignment horizontal="center" vertical="center"/>
    </xf>
    <xf numFmtId="3" fontId="23" fillId="9" borderId="54" xfId="2" applyNumberFormat="1" applyFont="1" applyFill="1" applyBorder="1" applyAlignment="1">
      <alignment horizontal="center" vertical="center"/>
    </xf>
    <xf numFmtId="3" fontId="23" fillId="0" borderId="54" xfId="2" applyNumberFormat="1" applyFont="1" applyBorder="1" applyAlignment="1">
      <alignment horizontal="center" vertical="center"/>
    </xf>
    <xf numFmtId="0" fontId="23" fillId="9" borderId="54" xfId="2" applyFont="1" applyFill="1" applyBorder="1" applyAlignment="1">
      <alignment horizontal="left" vertical="center" wrapText="1"/>
    </xf>
    <xf numFmtId="0" fontId="23" fillId="9" borderId="54" xfId="2" applyFont="1" applyFill="1" applyBorder="1" applyAlignment="1">
      <alignment vertical="center" wrapText="1"/>
    </xf>
    <xf numFmtId="0" fontId="23" fillId="9" borderId="55" xfId="2" applyFont="1" applyFill="1" applyBorder="1" applyAlignment="1">
      <alignment horizontal="center" vertical="center"/>
    </xf>
    <xf numFmtId="0" fontId="0" fillId="9" borderId="22" xfId="0" applyFill="1" applyBorder="1"/>
    <xf numFmtId="0" fontId="0" fillId="9" borderId="0" xfId="0" applyNumberFormat="1" applyFill="1"/>
    <xf numFmtId="0" fontId="0" fillId="9" borderId="0" xfId="0" applyFill="1"/>
    <xf numFmtId="49" fontId="20" fillId="9" borderId="47" xfId="0" applyNumberFormat="1" applyFont="1" applyFill="1" applyBorder="1" applyAlignment="1">
      <alignment horizontal="left" vertical="center" wrapText="1"/>
    </xf>
    <xf numFmtId="49" fontId="4" fillId="9" borderId="6" xfId="0" applyNumberFormat="1" applyFont="1" applyFill="1" applyBorder="1" applyAlignment="1">
      <alignment horizontal="right" vertical="center"/>
    </xf>
    <xf numFmtId="49" fontId="24" fillId="2" borderId="47" xfId="0" applyNumberFormat="1" applyFont="1" applyFill="1" applyBorder="1" applyAlignment="1">
      <alignment horizontal="left"/>
    </xf>
    <xf numFmtId="3" fontId="25" fillId="9" borderId="54" xfId="2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vertical="center"/>
    </xf>
    <xf numFmtId="49" fontId="4" fillId="10" borderId="47" xfId="0" applyNumberFormat="1" applyFont="1" applyFill="1" applyBorder="1" applyAlignment="1">
      <alignment horizontal="center" vertical="center" wrapText="1"/>
    </xf>
    <xf numFmtId="49" fontId="4" fillId="10" borderId="47" xfId="0" applyNumberFormat="1" applyFont="1" applyFill="1" applyBorder="1" applyAlignment="1">
      <alignment horizontal="center" vertical="center"/>
    </xf>
    <xf numFmtId="0" fontId="4" fillId="10" borderId="47" xfId="0" applyNumberFormat="1" applyFont="1" applyFill="1" applyBorder="1" applyAlignment="1">
      <alignment horizontal="center" vertical="center"/>
    </xf>
    <xf numFmtId="49" fontId="4" fillId="10" borderId="47" xfId="0" applyNumberFormat="1" applyFont="1" applyFill="1" applyBorder="1" applyAlignment="1">
      <alignment horizontal="center"/>
    </xf>
    <xf numFmtId="3" fontId="4" fillId="10" borderId="47" xfId="0" applyNumberFormat="1" applyFont="1" applyFill="1" applyBorder="1" applyAlignment="1">
      <alignment horizontal="center" vertical="center"/>
    </xf>
    <xf numFmtId="49" fontId="4" fillId="10" borderId="47" xfId="0" applyNumberFormat="1" applyFont="1" applyFill="1" applyBorder="1" applyAlignment="1">
      <alignment horizontal="left" vertical="center" wrapText="1"/>
    </xf>
    <xf numFmtId="0" fontId="4" fillId="10" borderId="47" xfId="0" applyNumberFormat="1" applyFont="1" applyFill="1" applyBorder="1" applyAlignment="1">
      <alignment horizontal="center"/>
    </xf>
    <xf numFmtId="3" fontId="4" fillId="10" borderId="47" xfId="0" applyNumberFormat="1" applyFont="1" applyFill="1" applyBorder="1" applyAlignment="1">
      <alignment horizontal="center"/>
    </xf>
    <xf numFmtId="49" fontId="4" fillId="10" borderId="47" xfId="0" applyNumberFormat="1" applyFont="1" applyFill="1" applyBorder="1" applyAlignment="1">
      <alignment horizontal="left" wrapText="1"/>
    </xf>
    <xf numFmtId="49" fontId="4" fillId="10" borderId="47" xfId="0" applyNumberFormat="1" applyFont="1" applyFill="1" applyBorder="1" applyAlignment="1">
      <alignment horizontal="left"/>
    </xf>
    <xf numFmtId="49" fontId="4" fillId="9" borderId="47" xfId="0" applyNumberFormat="1" applyFont="1" applyFill="1" applyBorder="1" applyAlignment="1">
      <alignment horizontal="center" vertical="center"/>
    </xf>
    <xf numFmtId="0" fontId="4" fillId="9" borderId="47" xfId="0" applyNumberFormat="1" applyFont="1" applyFill="1" applyBorder="1" applyAlignment="1">
      <alignment horizontal="center" vertical="center"/>
    </xf>
    <xf numFmtId="3" fontId="4" fillId="9" borderId="47" xfId="0" applyNumberFormat="1" applyFont="1" applyFill="1" applyBorder="1" applyAlignment="1">
      <alignment horizontal="center" vertical="center"/>
    </xf>
    <xf numFmtId="0" fontId="25" fillId="9" borderId="54" xfId="2" applyFont="1" applyFill="1" applyBorder="1" applyAlignment="1">
      <alignment horizontal="center" vertical="center"/>
    </xf>
    <xf numFmtId="49" fontId="23" fillId="2" borderId="47" xfId="0" applyNumberFormat="1" applyFont="1" applyFill="1" applyBorder="1" applyAlignment="1">
      <alignment horizontal="left"/>
    </xf>
    <xf numFmtId="49" fontId="23" fillId="2" borderId="47" xfId="0" applyNumberFormat="1" applyFont="1" applyFill="1" applyBorder="1" applyAlignment="1">
      <alignment horizontal="center"/>
    </xf>
    <xf numFmtId="0" fontId="23" fillId="2" borderId="47" xfId="0" applyNumberFormat="1" applyFont="1" applyFill="1" applyBorder="1" applyAlignment="1">
      <alignment horizontal="center"/>
    </xf>
    <xf numFmtId="3" fontId="23" fillId="2" borderId="47" xfId="0" applyNumberFormat="1" applyFont="1" applyFill="1" applyBorder="1" applyAlignment="1">
      <alignment horizontal="center"/>
    </xf>
    <xf numFmtId="0" fontId="23" fillId="10" borderId="54" xfId="2" applyFont="1" applyFill="1" applyBorder="1" applyAlignment="1">
      <alignment horizontal="center" vertical="center"/>
    </xf>
    <xf numFmtId="3" fontId="23" fillId="10" borderId="54" xfId="2" applyNumberFormat="1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 wrapText="1"/>
    </xf>
    <xf numFmtId="0" fontId="4" fillId="10" borderId="6" xfId="0" applyNumberFormat="1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49" fontId="23" fillId="10" borderId="6" xfId="0" applyNumberFormat="1" applyFont="1" applyFill="1" applyBorder="1" applyAlignment="1">
      <alignment horizontal="center" vertical="center" wrapText="1"/>
    </xf>
    <xf numFmtId="0" fontId="23" fillId="10" borderId="6" xfId="0" applyNumberFormat="1" applyFont="1" applyFill="1" applyBorder="1" applyAlignment="1">
      <alignment horizontal="center" vertical="center" wrapText="1"/>
    </xf>
    <xf numFmtId="3" fontId="23" fillId="10" borderId="6" xfId="0" applyNumberFormat="1" applyFont="1" applyFill="1" applyBorder="1" applyAlignment="1">
      <alignment horizontal="center" vertical="center" wrapText="1"/>
    </xf>
    <xf numFmtId="49" fontId="22" fillId="10" borderId="6" xfId="0" applyNumberFormat="1" applyFont="1" applyFill="1" applyBorder="1" applyAlignment="1">
      <alignment wrapText="1"/>
    </xf>
    <xf numFmtId="49" fontId="23" fillId="10" borderId="6" xfId="0" applyNumberFormat="1" applyFont="1" applyFill="1" applyBorder="1" applyAlignment="1">
      <alignment horizontal="center" wrapText="1"/>
    </xf>
    <xf numFmtId="0" fontId="23" fillId="10" borderId="6" xfId="0" applyNumberFormat="1" applyFont="1" applyFill="1" applyBorder="1" applyAlignment="1">
      <alignment horizontal="center" wrapText="1"/>
    </xf>
    <xf numFmtId="3" fontId="23" fillId="10" borderId="6" xfId="0" applyNumberFormat="1" applyFont="1" applyFill="1" applyBorder="1" applyAlignment="1">
      <alignment horizontal="center" wrapText="1"/>
    </xf>
    <xf numFmtId="49" fontId="23" fillId="10" borderId="6" xfId="0" applyNumberFormat="1" applyFont="1" applyFill="1" applyBorder="1" applyAlignment="1">
      <alignment wrapText="1"/>
    </xf>
    <xf numFmtId="1" fontId="23" fillId="10" borderId="6" xfId="0" applyNumberFormat="1" applyFont="1" applyFill="1" applyBorder="1" applyAlignment="1">
      <alignment horizontal="center" wrapText="1"/>
    </xf>
    <xf numFmtId="1" fontId="4" fillId="10" borderId="47" xfId="0" applyNumberFormat="1" applyFont="1" applyFill="1" applyBorder="1" applyAlignment="1">
      <alignment horizontal="center"/>
    </xf>
    <xf numFmtId="49" fontId="4" fillId="10" borderId="6" xfId="0" applyNumberFormat="1" applyFont="1" applyFill="1" applyBorder="1" applyAlignment="1">
      <alignment vertical="center" wrapText="1"/>
    </xf>
    <xf numFmtId="49" fontId="23" fillId="10" borderId="47" xfId="0" applyNumberFormat="1" applyFont="1" applyFill="1" applyBorder="1" applyAlignment="1">
      <alignment horizontal="left"/>
    </xf>
    <xf numFmtId="49" fontId="23" fillId="10" borderId="47" xfId="0" applyNumberFormat="1" applyFont="1" applyFill="1" applyBorder="1" applyAlignment="1">
      <alignment horizontal="center"/>
    </xf>
    <xf numFmtId="0" fontId="23" fillId="10" borderId="47" xfId="0" applyNumberFormat="1" applyFont="1" applyFill="1" applyBorder="1" applyAlignment="1">
      <alignment horizontal="center"/>
    </xf>
    <xf numFmtId="3" fontId="23" fillId="10" borderId="47" xfId="0" applyNumberFormat="1" applyFont="1" applyFill="1" applyBorder="1" applyAlignment="1">
      <alignment horizontal="center"/>
    </xf>
    <xf numFmtId="49" fontId="22" fillId="10" borderId="47" xfId="0" applyNumberFormat="1" applyFont="1" applyFill="1" applyBorder="1" applyAlignment="1">
      <alignment horizontal="left"/>
    </xf>
    <xf numFmtId="166" fontId="12" fillId="7" borderId="35" xfId="0" applyNumberFormat="1" applyFont="1" applyFill="1" applyBorder="1" applyAlignment="1">
      <alignment vertical="center"/>
    </xf>
    <xf numFmtId="0" fontId="23" fillId="9" borderId="55" xfId="2" applyFont="1" applyFill="1" applyBorder="1" applyAlignment="1">
      <alignment horizontal="center" vertical="center" wrapText="1"/>
    </xf>
    <xf numFmtId="49" fontId="23" fillId="10" borderId="6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left"/>
    </xf>
    <xf numFmtId="3" fontId="23" fillId="10" borderId="56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left"/>
    </xf>
    <xf numFmtId="0" fontId="0" fillId="9" borderId="0" xfId="0" applyNumberFormat="1" applyFill="1" applyAlignment="1">
      <alignment horizontal="left"/>
    </xf>
    <xf numFmtId="0" fontId="14" fillId="8" borderId="59" xfId="0" applyFont="1" applyFill="1" applyBorder="1"/>
    <xf numFmtId="9" fontId="14" fillId="2" borderId="60" xfId="0" applyNumberFormat="1" applyFont="1" applyFill="1" applyBorder="1"/>
    <xf numFmtId="0" fontId="0" fillId="0" borderId="20" xfId="0" applyNumberFormat="1" applyBorder="1" applyAlignment="1">
      <alignment horizontal="left"/>
    </xf>
    <xf numFmtId="49" fontId="4" fillId="9" borderId="47" xfId="0" applyNumberFormat="1" applyFont="1" applyFill="1" applyBorder="1" applyAlignment="1">
      <alignment horizontal="left"/>
    </xf>
    <xf numFmtId="49" fontId="4" fillId="9" borderId="47" xfId="0" applyNumberFormat="1" applyFont="1" applyFill="1" applyBorder="1" applyAlignment="1">
      <alignment horizontal="center"/>
    </xf>
    <xf numFmtId="0" fontId="4" fillId="9" borderId="47" xfId="0" applyNumberFormat="1" applyFont="1" applyFill="1" applyBorder="1" applyAlignment="1">
      <alignment horizontal="center"/>
    </xf>
    <xf numFmtId="3" fontId="4" fillId="9" borderId="47" xfId="0" applyNumberFormat="1" applyFont="1" applyFill="1" applyBorder="1" applyAlignment="1">
      <alignment horizontal="center"/>
    </xf>
    <xf numFmtId="0" fontId="21" fillId="9" borderId="0" xfId="7" applyNumberFormat="1" applyFont="1" applyFill="1" applyAlignment="1">
      <alignment horizontal="left"/>
    </xf>
    <xf numFmtId="164" fontId="0" fillId="9" borderId="0" xfId="0" applyNumberFormat="1" applyFill="1"/>
    <xf numFmtId="0" fontId="21" fillId="9" borderId="0" xfId="0" applyNumberFormat="1" applyFont="1" applyFill="1" applyAlignment="1">
      <alignment horizontal="left"/>
    </xf>
    <xf numFmtId="49" fontId="2" fillId="2" borderId="6" xfId="0" applyNumberFormat="1" applyFont="1" applyFill="1" applyBorder="1" applyAlignment="1">
      <alignment horizontal="right" vertical="center" wrapText="1"/>
    </xf>
    <xf numFmtId="0" fontId="27" fillId="9" borderId="20" xfId="0" applyFont="1" applyFill="1" applyBorder="1" applyAlignment="1">
      <alignment vertical="center"/>
    </xf>
    <xf numFmtId="49" fontId="27" fillId="9" borderId="20" xfId="0" applyNumberFormat="1" applyFont="1" applyFill="1" applyBorder="1" applyAlignment="1">
      <alignment horizontal="right"/>
    </xf>
    <xf numFmtId="3" fontId="27" fillId="9" borderId="20" xfId="0" applyNumberFormat="1" applyFont="1" applyFill="1" applyBorder="1"/>
    <xf numFmtId="9" fontId="27" fillId="9" borderId="20" xfId="6" applyFont="1" applyFill="1" applyBorder="1" applyAlignment="1">
      <alignment horizontal="left" vertical="center"/>
    </xf>
    <xf numFmtId="3" fontId="27" fillId="9" borderId="20" xfId="0" applyNumberFormat="1" applyFont="1" applyFill="1" applyBorder="1" applyAlignment="1">
      <alignment vertical="center"/>
    </xf>
    <xf numFmtId="49" fontId="27" fillId="9" borderId="20" xfId="0" applyNumberFormat="1" applyFont="1" applyFill="1" applyBorder="1" applyAlignment="1">
      <alignment horizontal="right" vertical="center"/>
    </xf>
    <xf numFmtId="164" fontId="11" fillId="9" borderId="20" xfId="5" applyFont="1" applyFill="1" applyBorder="1" applyAlignment="1"/>
    <xf numFmtId="3" fontId="4" fillId="10" borderId="56" xfId="0" applyNumberFormat="1" applyFont="1" applyFill="1" applyBorder="1" applyAlignment="1">
      <alignment horizontal="right"/>
    </xf>
    <xf numFmtId="49" fontId="4" fillId="9" borderId="56" xfId="0" applyNumberFormat="1" applyFont="1" applyFill="1" applyBorder="1" applyAlignment="1">
      <alignment horizontal="right"/>
    </xf>
    <xf numFmtId="168" fontId="4" fillId="10" borderId="56" xfId="0" applyNumberFormat="1" applyFont="1" applyFill="1" applyBorder="1" applyAlignment="1">
      <alignment horizontal="right"/>
    </xf>
    <xf numFmtId="168" fontId="4" fillId="10" borderId="56" xfId="0" applyNumberFormat="1" applyFont="1" applyFill="1" applyBorder="1" applyAlignment="1">
      <alignment horizontal="right" wrapText="1"/>
    </xf>
    <xf numFmtId="49" fontId="4" fillId="9" borderId="56" xfId="0" applyNumberFormat="1" applyFont="1" applyFill="1" applyBorder="1" applyAlignment="1">
      <alignment horizontal="right" wrapText="1"/>
    </xf>
    <xf numFmtId="0" fontId="2" fillId="2" borderId="61" xfId="0" applyFont="1" applyFill="1" applyBorder="1" applyAlignment="1">
      <alignment horizontal="right" wrapText="1"/>
    </xf>
    <xf numFmtId="0" fontId="2" fillId="2" borderId="62" xfId="0" applyFont="1" applyFill="1" applyBorder="1" applyAlignment="1">
      <alignment horizontal="right"/>
    </xf>
    <xf numFmtId="0" fontId="2" fillId="2" borderId="63" xfId="0" applyFont="1" applyFill="1" applyBorder="1" applyAlignment="1">
      <alignment horizontal="right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horizontal="center" wrapText="1"/>
    </xf>
    <xf numFmtId="3" fontId="23" fillId="10" borderId="56" xfId="0" applyNumberFormat="1" applyFont="1" applyFill="1" applyBorder="1" applyAlignment="1">
      <alignment horizontal="center" vertical="center" wrapText="1"/>
    </xf>
    <xf numFmtId="49" fontId="22" fillId="10" borderId="20" xfId="0" applyNumberFormat="1" applyFont="1" applyFill="1" applyBorder="1" applyAlignment="1">
      <alignment horizontal="left" wrapText="1"/>
    </xf>
    <xf numFmtId="3" fontId="4" fillId="10" borderId="56" xfId="0" applyNumberFormat="1" applyFont="1" applyFill="1" applyBorder="1" applyAlignment="1">
      <alignment horizontal="center" vertical="center" wrapText="1"/>
    </xf>
    <xf numFmtId="3" fontId="23" fillId="10" borderId="65" xfId="0" applyNumberFormat="1" applyFont="1" applyFill="1" applyBorder="1" applyAlignment="1">
      <alignment horizontal="center"/>
    </xf>
    <xf numFmtId="3" fontId="4" fillId="2" borderId="65" xfId="0" applyNumberFormat="1" applyFont="1" applyFill="1" applyBorder="1" applyAlignment="1">
      <alignment horizontal="center"/>
    </xf>
    <xf numFmtId="3" fontId="25" fillId="9" borderId="66" xfId="2" applyNumberFormat="1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/>
    </xf>
    <xf numFmtId="3" fontId="25" fillId="9" borderId="47" xfId="2" applyNumberFormat="1" applyFont="1" applyFill="1" applyBorder="1" applyAlignment="1">
      <alignment horizontal="center" vertical="center"/>
    </xf>
    <xf numFmtId="49" fontId="23" fillId="9" borderId="47" xfId="0" applyNumberFormat="1" applyFont="1" applyFill="1" applyBorder="1" applyAlignment="1">
      <alignment horizontal="center"/>
    </xf>
    <xf numFmtId="49" fontId="23" fillId="10" borderId="47" xfId="0" applyNumberFormat="1" applyFont="1" applyFill="1" applyBorder="1" applyAlignment="1">
      <alignment horizontal="left" vertical="center" wrapText="1"/>
    </xf>
    <xf numFmtId="1" fontId="23" fillId="10" borderId="47" xfId="0" applyNumberFormat="1" applyFont="1" applyFill="1" applyBorder="1" applyAlignment="1">
      <alignment horizontal="center"/>
    </xf>
    <xf numFmtId="49" fontId="23" fillId="10" borderId="6" xfId="0" applyNumberFormat="1" applyFont="1" applyFill="1" applyBorder="1" applyAlignment="1">
      <alignment vertical="center" wrapText="1"/>
    </xf>
    <xf numFmtId="3" fontId="23" fillId="10" borderId="47" xfId="0" applyNumberFormat="1" applyFont="1" applyFill="1" applyBorder="1" applyAlignment="1">
      <alignment horizontal="center" vertical="center" wrapText="1"/>
    </xf>
    <xf numFmtId="3" fontId="23" fillId="10" borderId="47" xfId="0" applyNumberFormat="1" applyFont="1" applyFill="1" applyBorder="1" applyAlignment="1">
      <alignment horizontal="center" wrapText="1"/>
    </xf>
    <xf numFmtId="3" fontId="7" fillId="3" borderId="47" xfId="0" applyNumberFormat="1" applyFont="1" applyFill="1" applyBorder="1" applyAlignment="1">
      <alignment horizontal="center" vertical="center"/>
    </xf>
    <xf numFmtId="0" fontId="0" fillId="9" borderId="47" xfId="0" applyNumberFormat="1" applyFill="1" applyBorder="1"/>
    <xf numFmtId="49" fontId="4" fillId="9" borderId="47" xfId="0" applyNumberFormat="1" applyFont="1" applyFill="1" applyBorder="1" applyAlignment="1">
      <alignment horizontal="left" wrapText="1"/>
    </xf>
    <xf numFmtId="49" fontId="20" fillId="9" borderId="47" xfId="0" applyNumberFormat="1" applyFont="1" applyFill="1" applyBorder="1" applyAlignment="1">
      <alignment horizontal="left"/>
    </xf>
    <xf numFmtId="49" fontId="24" fillId="9" borderId="47" xfId="0" applyNumberFormat="1" applyFont="1" applyFill="1" applyBorder="1" applyAlignment="1">
      <alignment horizontal="left"/>
    </xf>
    <xf numFmtId="49" fontId="23" fillId="9" borderId="47" xfId="0" applyNumberFormat="1" applyFont="1" applyFill="1" applyBorder="1" applyAlignment="1">
      <alignment horizontal="left"/>
    </xf>
    <xf numFmtId="3" fontId="23" fillId="9" borderId="47" xfId="0" applyNumberFormat="1" applyFont="1" applyFill="1" applyBorder="1" applyAlignment="1">
      <alignment horizontal="center"/>
    </xf>
    <xf numFmtId="3" fontId="23" fillId="9" borderId="47" xfId="2" applyNumberFormat="1" applyFont="1" applyFill="1" applyBorder="1" applyAlignment="1">
      <alignment horizontal="center" vertical="center"/>
    </xf>
    <xf numFmtId="49" fontId="4" fillId="9" borderId="47" xfId="0" applyNumberFormat="1" applyFont="1" applyFill="1" applyBorder="1" applyAlignment="1">
      <alignment horizontal="center" vertical="center" wrapText="1"/>
    </xf>
    <xf numFmtId="3" fontId="4" fillId="9" borderId="65" xfId="0" applyNumberFormat="1" applyFont="1" applyFill="1" applyBorder="1" applyAlignment="1">
      <alignment horizontal="center" vertical="center"/>
    </xf>
    <xf numFmtId="49" fontId="4" fillId="9" borderId="47" xfId="0" applyNumberFormat="1" applyFont="1" applyFill="1" applyBorder="1" applyAlignment="1">
      <alignment horizontal="left" vertical="center" wrapText="1"/>
    </xf>
    <xf numFmtId="3" fontId="23" fillId="9" borderId="66" xfId="2" applyNumberFormat="1" applyFont="1" applyFill="1" applyBorder="1" applyAlignment="1">
      <alignment horizontal="center" vertical="center"/>
    </xf>
    <xf numFmtId="49" fontId="23" fillId="9" borderId="47" xfId="0" applyNumberFormat="1" applyFont="1" applyFill="1" applyBorder="1" applyAlignment="1">
      <alignment horizontal="center" vertical="center" wrapText="1"/>
    </xf>
    <xf numFmtId="49" fontId="23" fillId="9" borderId="47" xfId="0" applyNumberFormat="1" applyFont="1" applyFill="1" applyBorder="1" applyAlignment="1">
      <alignment horizontal="center" vertical="center"/>
    </xf>
    <xf numFmtId="165" fontId="23" fillId="9" borderId="47" xfId="7" applyFont="1" applyFill="1" applyBorder="1" applyAlignment="1">
      <alignment horizontal="center" vertical="center"/>
    </xf>
    <xf numFmtId="3" fontId="23" fillId="9" borderId="47" xfId="0" applyNumberFormat="1" applyFont="1" applyFill="1" applyBorder="1" applyAlignment="1">
      <alignment horizontal="center" vertical="center"/>
    </xf>
    <xf numFmtId="0" fontId="23" fillId="9" borderId="47" xfId="0" applyNumberFormat="1" applyFont="1" applyFill="1" applyBorder="1" applyAlignment="1">
      <alignment horizontal="center"/>
    </xf>
    <xf numFmtId="3" fontId="23" fillId="9" borderId="65" xfId="0" applyNumberFormat="1" applyFont="1" applyFill="1" applyBorder="1" applyAlignment="1">
      <alignment horizontal="center"/>
    </xf>
    <xf numFmtId="49" fontId="22" fillId="9" borderId="47" xfId="0" applyNumberFormat="1" applyFont="1" applyFill="1" applyBorder="1" applyAlignment="1">
      <alignment horizontal="left"/>
    </xf>
    <xf numFmtId="3" fontId="4" fillId="9" borderId="65" xfId="0" applyNumberFormat="1" applyFont="1" applyFill="1" applyBorder="1" applyAlignment="1">
      <alignment horizontal="center"/>
    </xf>
    <xf numFmtId="49" fontId="4" fillId="9" borderId="67" xfId="0" applyNumberFormat="1" applyFont="1" applyFill="1" applyBorder="1" applyAlignment="1">
      <alignment horizontal="left"/>
    </xf>
    <xf numFmtId="49" fontId="4" fillId="9" borderId="67" xfId="0" applyNumberFormat="1" applyFont="1" applyFill="1" applyBorder="1" applyAlignment="1">
      <alignment horizontal="center"/>
    </xf>
    <xf numFmtId="0" fontId="4" fillId="9" borderId="67" xfId="0" applyNumberFormat="1" applyFont="1" applyFill="1" applyBorder="1" applyAlignment="1">
      <alignment horizontal="center"/>
    </xf>
    <xf numFmtId="0" fontId="25" fillId="9" borderId="69" xfId="2" applyFont="1" applyFill="1" applyBorder="1" applyAlignment="1">
      <alignment horizontal="center" vertical="center"/>
    </xf>
    <xf numFmtId="3" fontId="25" fillId="9" borderId="70" xfId="2" applyNumberFormat="1" applyFont="1" applyFill="1" applyBorder="1" applyAlignment="1">
      <alignment horizontal="center" vertical="center"/>
    </xf>
    <xf numFmtId="0" fontId="0" fillId="9" borderId="47" xfId="0" applyNumberFormat="1" applyFill="1" applyBorder="1" applyAlignment="1">
      <alignment horizontal="right"/>
    </xf>
    <xf numFmtId="0" fontId="25" fillId="9" borderId="47" xfId="2" applyFont="1" applyFill="1" applyBorder="1" applyAlignment="1">
      <alignment horizontal="center" vertical="center"/>
    </xf>
    <xf numFmtId="0" fontId="0" fillId="2" borderId="71" xfId="0" applyFill="1" applyBorder="1" applyAlignment="1">
      <alignment horizontal="right"/>
    </xf>
    <xf numFmtId="3" fontId="4" fillId="10" borderId="47" xfId="0" applyNumberFormat="1" applyFont="1" applyFill="1" applyBorder="1" applyAlignment="1">
      <alignment horizontal="right"/>
    </xf>
    <xf numFmtId="49" fontId="4" fillId="9" borderId="47" xfId="0" applyNumberFormat="1" applyFont="1" applyFill="1" applyBorder="1" applyAlignment="1">
      <alignment horizontal="right"/>
    </xf>
    <xf numFmtId="168" fontId="4" fillId="10" borderId="47" xfId="0" applyNumberFormat="1" applyFont="1" applyFill="1" applyBorder="1" applyAlignment="1">
      <alignment horizontal="right"/>
    </xf>
    <xf numFmtId="168" fontId="4" fillId="10" borderId="47" xfId="0" applyNumberFormat="1" applyFont="1" applyFill="1" applyBorder="1" applyAlignment="1">
      <alignment horizontal="right" wrapText="1"/>
    </xf>
    <xf numFmtId="49" fontId="4" fillId="9" borderId="47" xfId="0" applyNumberFormat="1" applyFont="1" applyFill="1" applyBorder="1" applyAlignment="1">
      <alignment horizontal="right" wrapText="1"/>
    </xf>
    <xf numFmtId="0" fontId="2" fillId="2" borderId="47" xfId="0" applyFont="1" applyFill="1" applyBorder="1" applyAlignment="1">
      <alignment horizontal="right" vertical="center"/>
    </xf>
    <xf numFmtId="3" fontId="4" fillId="2" borderId="47" xfId="0" applyNumberFormat="1" applyFont="1" applyFill="1" applyBorder="1" applyAlignment="1">
      <alignment horizontal="center" wrapText="1"/>
    </xf>
    <xf numFmtId="3" fontId="2" fillId="2" borderId="47" xfId="0" applyNumberFormat="1" applyFont="1" applyFill="1" applyBorder="1" applyAlignment="1">
      <alignment horizontal="right"/>
    </xf>
    <xf numFmtId="49" fontId="1" fillId="3" borderId="47" xfId="0" applyNumberFormat="1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/>
    </xf>
    <xf numFmtId="3" fontId="3" fillId="3" borderId="47" xfId="0" applyNumberFormat="1" applyFont="1" applyFill="1" applyBorder="1" applyAlignment="1">
      <alignment horizontal="center" vertical="center"/>
    </xf>
    <xf numFmtId="3" fontId="4" fillId="10" borderId="47" xfId="0" applyNumberFormat="1" applyFont="1" applyFill="1" applyBorder="1" applyAlignment="1">
      <alignment horizontal="center" vertical="center" wrapText="1"/>
    </xf>
    <xf numFmtId="49" fontId="1" fillId="3" borderId="47" xfId="0" applyNumberFormat="1" applyFont="1" applyFill="1" applyBorder="1" applyAlignment="1">
      <alignment horizontal="right" vertical="center" wrapText="1"/>
    </xf>
    <xf numFmtId="3" fontId="2" fillId="2" borderId="62" xfId="0" applyNumberFormat="1" applyFont="1" applyFill="1" applyBorder="1"/>
    <xf numFmtId="0" fontId="2" fillId="2" borderId="72" xfId="0" applyFont="1" applyFill="1" applyBorder="1" applyAlignment="1">
      <alignment vertical="center"/>
    </xf>
    <xf numFmtId="49" fontId="1" fillId="3" borderId="73" xfId="0" applyNumberFormat="1" applyFont="1" applyFill="1" applyBorder="1" applyAlignment="1">
      <alignment horizontal="center" vertical="center" wrapText="1"/>
    </xf>
    <xf numFmtId="3" fontId="2" fillId="2" borderId="73" xfId="0" applyNumberFormat="1" applyFont="1" applyFill="1" applyBorder="1" applyAlignment="1">
      <alignment vertical="center"/>
    </xf>
    <xf numFmtId="0" fontId="3" fillId="3" borderId="73" xfId="0" applyFont="1" applyFill="1" applyBorder="1" applyAlignment="1">
      <alignment vertical="center"/>
    </xf>
    <xf numFmtId="3" fontId="2" fillId="2" borderId="74" xfId="0" applyNumberFormat="1" applyFont="1" applyFill="1" applyBorder="1"/>
    <xf numFmtId="49" fontId="1" fillId="3" borderId="64" xfId="0" applyNumberFormat="1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3" fontId="23" fillId="9" borderId="65" xfId="0" applyNumberFormat="1" applyFont="1" applyFill="1" applyBorder="1" applyAlignment="1">
      <alignment horizontal="center" vertical="center"/>
    </xf>
    <xf numFmtId="0" fontId="0" fillId="9" borderId="65" xfId="0" applyNumberFormat="1" applyFill="1" applyBorder="1"/>
    <xf numFmtId="3" fontId="25" fillId="9" borderId="65" xfId="2" applyNumberFormat="1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vertical="center"/>
    </xf>
    <xf numFmtId="49" fontId="1" fillId="3" borderId="75" xfId="0" applyNumberFormat="1" applyFont="1" applyFill="1" applyBorder="1" applyAlignment="1">
      <alignment horizontal="center" vertical="center" wrapText="1"/>
    </xf>
    <xf numFmtId="0" fontId="4" fillId="2" borderId="56" xfId="0" applyFont="1" applyFill="1" applyBorder="1"/>
    <xf numFmtId="0" fontId="2" fillId="2" borderId="76" xfId="0" applyFont="1" applyFill="1" applyBorder="1" applyAlignment="1">
      <alignment horizontal="right" wrapText="1"/>
    </xf>
    <xf numFmtId="17" fontId="19" fillId="9" borderId="54" xfId="1" applyNumberFormat="1" applyFont="1" applyFill="1" applyBorder="1" applyAlignment="1">
      <alignment horizontal="right" vertical="center"/>
    </xf>
    <xf numFmtId="49" fontId="23" fillId="9" borderId="47" xfId="0" applyNumberFormat="1" applyFont="1" applyFill="1" applyBorder="1" applyAlignment="1">
      <alignment horizontal="left" vertical="center" wrapText="1"/>
    </xf>
    <xf numFmtId="49" fontId="4" fillId="9" borderId="6" xfId="0" applyNumberFormat="1" applyFont="1" applyFill="1" applyBorder="1" applyAlignment="1">
      <alignment horizontal="right" vertical="center" wrapText="1"/>
    </xf>
    <xf numFmtId="164" fontId="0" fillId="0" borderId="0" xfId="5" applyFont="1"/>
    <xf numFmtId="0" fontId="29" fillId="0" borderId="0" xfId="0" applyNumberFormat="1" applyFont="1"/>
    <xf numFmtId="3" fontId="7" fillId="3" borderId="56" xfId="0" applyNumberFormat="1" applyFont="1" applyFill="1" applyBorder="1" applyAlignment="1">
      <alignment vertical="center"/>
    </xf>
    <xf numFmtId="1" fontId="23" fillId="10" borderId="6" xfId="0" applyNumberFormat="1" applyFont="1" applyFill="1" applyBorder="1" applyAlignment="1">
      <alignment horizontal="center" vertical="center" wrapText="1"/>
    </xf>
    <xf numFmtId="0" fontId="0" fillId="2" borderId="20" xfId="0" applyFill="1" applyBorder="1"/>
    <xf numFmtId="0" fontId="29" fillId="0" borderId="0" xfId="0" applyNumberFormat="1" applyFont="1" applyAlignment="1">
      <alignment horizontal="center"/>
    </xf>
    <xf numFmtId="49" fontId="30" fillId="2" borderId="47" xfId="0" applyNumberFormat="1" applyFont="1" applyFill="1" applyBorder="1" applyAlignment="1">
      <alignment horizontal="center" vertical="center" wrapText="1"/>
    </xf>
    <xf numFmtId="0" fontId="29" fillId="0" borderId="47" xfId="0" applyNumberFormat="1" applyFont="1" applyBorder="1" applyAlignment="1">
      <alignment horizontal="center" vertical="center"/>
    </xf>
    <xf numFmtId="164" fontId="29" fillId="0" borderId="47" xfId="5" applyFont="1" applyBorder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29" fillId="0" borderId="0" xfId="0" applyFont="1"/>
    <xf numFmtId="0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center" vertical="center"/>
    </xf>
    <xf numFmtId="0" fontId="33" fillId="0" borderId="0" xfId="0" applyNumberFormat="1" applyFont="1"/>
    <xf numFmtId="164" fontId="33" fillId="0" borderId="0" xfId="5" applyFont="1" applyAlignment="1">
      <alignment horizontal="center" vertical="center"/>
    </xf>
    <xf numFmtId="0" fontId="33" fillId="0" borderId="0" xfId="0" applyNumberFormat="1" applyFont="1" applyAlignment="1">
      <alignment horizontal="center" vertical="center"/>
    </xf>
    <xf numFmtId="49" fontId="29" fillId="2" borderId="47" xfId="0" applyNumberFormat="1" applyFont="1" applyFill="1" applyBorder="1" applyAlignment="1">
      <alignment horizontal="center" vertical="center" wrapText="1"/>
    </xf>
    <xf numFmtId="49" fontId="32" fillId="10" borderId="47" xfId="0" applyNumberFormat="1" applyFont="1" applyFill="1" applyBorder="1" applyAlignment="1">
      <alignment horizontal="center" vertical="center" wrapText="1"/>
    </xf>
    <xf numFmtId="49" fontId="29" fillId="9" borderId="47" xfId="0" applyNumberFormat="1" applyFont="1" applyFill="1" applyBorder="1" applyAlignment="1">
      <alignment horizontal="center" vertical="center" wrapText="1"/>
    </xf>
    <xf numFmtId="49" fontId="29" fillId="9" borderId="47" xfId="0" applyNumberFormat="1" applyFont="1" applyFill="1" applyBorder="1" applyAlignment="1">
      <alignment horizontal="center" vertical="center"/>
    </xf>
    <xf numFmtId="49" fontId="32" fillId="9" borderId="47" xfId="0" applyNumberFormat="1" applyFont="1" applyFill="1" applyBorder="1" applyAlignment="1">
      <alignment horizontal="center" vertical="center"/>
    </xf>
    <xf numFmtId="164" fontId="29" fillId="0" borderId="0" xfId="0" applyNumberFormat="1" applyFont="1"/>
    <xf numFmtId="49" fontId="29" fillId="2" borderId="20" xfId="0" applyNumberFormat="1" applyFont="1" applyFill="1" applyBorder="1" applyAlignment="1">
      <alignment horizontal="center" vertical="center"/>
    </xf>
    <xf numFmtId="0" fontId="29" fillId="0" borderId="20" xfId="0" applyFont="1" applyBorder="1"/>
    <xf numFmtId="0" fontId="33" fillId="0" borderId="20" xfId="0" applyNumberFormat="1" applyFont="1" applyBorder="1"/>
    <xf numFmtId="0" fontId="29" fillId="0" borderId="20" xfId="0" applyNumberFormat="1" applyFont="1" applyBorder="1"/>
    <xf numFmtId="0" fontId="29" fillId="0" borderId="20" xfId="0" applyNumberFormat="1" applyFont="1" applyBorder="1" applyAlignment="1">
      <alignment horizontal="right"/>
    </xf>
    <xf numFmtId="164" fontId="29" fillId="10" borderId="20" xfId="5" applyFont="1" applyFill="1" applyBorder="1" applyAlignment="1">
      <alignment horizontal="center" vertical="center" wrapText="1"/>
    </xf>
    <xf numFmtId="49" fontId="29" fillId="2" borderId="78" xfId="0" applyNumberFormat="1" applyFont="1" applyFill="1" applyBorder="1" applyAlignment="1">
      <alignment horizontal="center" vertical="center" wrapText="1"/>
    </xf>
    <xf numFmtId="164" fontId="29" fillId="0" borderId="78" xfId="5" applyFont="1" applyBorder="1" applyAlignment="1">
      <alignment horizontal="center" vertical="center"/>
    </xf>
    <xf numFmtId="49" fontId="32" fillId="10" borderId="83" xfId="0" applyNumberFormat="1" applyFont="1" applyFill="1" applyBorder="1" applyAlignment="1">
      <alignment horizontal="center" vertical="center" wrapText="1"/>
    </xf>
    <xf numFmtId="164" fontId="32" fillId="10" borderId="83" xfId="5" applyFont="1" applyFill="1" applyBorder="1" applyAlignment="1">
      <alignment horizontal="center" vertical="center" wrapText="1"/>
    </xf>
    <xf numFmtId="49" fontId="32" fillId="9" borderId="86" xfId="0" applyNumberFormat="1" applyFont="1" applyFill="1" applyBorder="1" applyAlignment="1">
      <alignment horizontal="center" vertical="center"/>
    </xf>
    <xf numFmtId="164" fontId="29" fillId="0" borderId="86" xfId="5" applyFont="1" applyBorder="1" applyAlignment="1">
      <alignment horizontal="center" vertical="center"/>
    </xf>
    <xf numFmtId="164" fontId="33" fillId="0" borderId="87" xfId="5" applyFont="1" applyBorder="1" applyAlignment="1">
      <alignment horizontal="center" vertical="center"/>
    </xf>
    <xf numFmtId="49" fontId="29" fillId="9" borderId="83" xfId="0" applyNumberFormat="1" applyFont="1" applyFill="1" applyBorder="1" applyAlignment="1">
      <alignment horizontal="center" vertical="center"/>
    </xf>
    <xf numFmtId="164" fontId="29" fillId="0" borderId="83" xfId="5" applyFont="1" applyBorder="1" applyAlignment="1">
      <alignment horizontal="center" vertical="center"/>
    </xf>
    <xf numFmtId="0" fontId="32" fillId="9" borderId="86" xfId="2" applyFont="1" applyFill="1" applyBorder="1" applyAlignment="1">
      <alignment horizontal="center" vertical="center"/>
    </xf>
    <xf numFmtId="164" fontId="29" fillId="9" borderId="86" xfId="5" applyFont="1" applyFill="1" applyBorder="1" applyAlignment="1">
      <alignment horizontal="center" vertical="center"/>
    </xf>
    <xf numFmtId="164" fontId="33" fillId="9" borderId="87" xfId="5" applyFont="1" applyFill="1" applyBorder="1" applyAlignment="1">
      <alignment horizontal="center" vertical="center"/>
    </xf>
    <xf numFmtId="49" fontId="32" fillId="9" borderId="77" xfId="0" applyNumberFormat="1" applyFont="1" applyFill="1" applyBorder="1" applyAlignment="1">
      <alignment horizontal="center" vertical="center"/>
    </xf>
    <xf numFmtId="164" fontId="32" fillId="9" borderId="79" xfId="0" applyNumberFormat="1" applyFont="1" applyFill="1" applyBorder="1" applyAlignment="1">
      <alignment vertical="center"/>
    </xf>
    <xf numFmtId="49" fontId="32" fillId="9" borderId="80" xfId="0" applyNumberFormat="1" applyFont="1" applyFill="1" applyBorder="1" applyAlignment="1">
      <alignment horizontal="center" vertical="center"/>
    </xf>
    <xf numFmtId="164" fontId="32" fillId="9" borderId="81" xfId="5" applyFont="1" applyFill="1" applyBorder="1" applyAlignment="1">
      <alignment vertical="center"/>
    </xf>
    <xf numFmtId="49" fontId="32" fillId="9" borderId="82" xfId="0" applyNumberFormat="1" applyFont="1" applyFill="1" applyBorder="1" applyAlignment="1">
      <alignment horizontal="center" vertical="center"/>
    </xf>
    <xf numFmtId="164" fontId="32" fillId="9" borderId="84" xfId="5" applyFont="1" applyFill="1" applyBorder="1" applyAlignment="1">
      <alignment vertical="center"/>
    </xf>
    <xf numFmtId="49" fontId="31" fillId="9" borderId="47" xfId="0" applyNumberFormat="1" applyFont="1" applyFill="1" applyBorder="1" applyAlignment="1">
      <alignment horizontal="center" vertical="center" wrapText="1"/>
    </xf>
    <xf numFmtId="49" fontId="30" fillId="9" borderId="47" xfId="0" applyNumberFormat="1" applyFont="1" applyFill="1" applyBorder="1" applyAlignment="1">
      <alignment horizontal="center" vertical="center" wrapText="1"/>
    </xf>
    <xf numFmtId="165" fontId="30" fillId="10" borderId="47" xfId="7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165" fontId="30" fillId="10" borderId="47" xfId="7" applyFont="1" applyFill="1" applyBorder="1" applyAlignment="1">
      <alignment horizontal="center" vertical="center" wrapText="1"/>
    </xf>
    <xf numFmtId="0" fontId="33" fillId="11" borderId="85" xfId="0" applyNumberFormat="1" applyFont="1" applyFill="1" applyBorder="1" applyAlignment="1">
      <alignment horizontal="center" vertical="center"/>
    </xf>
    <xf numFmtId="0" fontId="33" fillId="13" borderId="8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5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56" xfId="0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56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vertical="center"/>
    </xf>
    <xf numFmtId="0" fontId="12" fillId="8" borderId="58" xfId="0" applyFont="1" applyFill="1" applyBorder="1" applyAlignment="1">
      <alignment vertical="center"/>
    </xf>
    <xf numFmtId="0" fontId="14" fillId="9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/>
    <xf numFmtId="0" fontId="33" fillId="8" borderId="77" xfId="0" applyNumberFormat="1" applyFont="1" applyFill="1" applyBorder="1" applyAlignment="1">
      <alignment horizontal="center" vertical="center"/>
    </xf>
    <xf numFmtId="0" fontId="33" fillId="8" borderId="80" xfId="0" applyNumberFormat="1" applyFont="1" applyFill="1" applyBorder="1" applyAlignment="1">
      <alignment horizontal="center" vertical="center"/>
    </xf>
    <xf numFmtId="0" fontId="33" fillId="8" borderId="82" xfId="0" applyNumberFormat="1" applyFont="1" applyFill="1" applyBorder="1" applyAlignment="1">
      <alignment horizontal="center" vertical="center"/>
    </xf>
    <xf numFmtId="0" fontId="33" fillId="12" borderId="77" xfId="0" applyNumberFormat="1" applyFont="1" applyFill="1" applyBorder="1" applyAlignment="1">
      <alignment horizontal="center" vertical="center" wrapText="1"/>
    </xf>
    <xf numFmtId="0" fontId="33" fillId="12" borderId="80" xfId="0" applyNumberFormat="1" applyFont="1" applyFill="1" applyBorder="1" applyAlignment="1">
      <alignment horizontal="center" vertical="center" wrapText="1"/>
    </xf>
    <xf numFmtId="0" fontId="33" fillId="12" borderId="82" xfId="0" applyNumberFormat="1" applyFont="1" applyFill="1" applyBorder="1" applyAlignment="1">
      <alignment horizontal="center" vertical="center" wrapText="1"/>
    </xf>
    <xf numFmtId="164" fontId="33" fillId="0" borderId="79" xfId="5" applyFont="1" applyBorder="1" applyAlignment="1">
      <alignment horizontal="center" vertical="center"/>
    </xf>
    <xf numFmtId="164" fontId="33" fillId="0" borderId="81" xfId="5" applyFont="1" applyBorder="1" applyAlignment="1">
      <alignment horizontal="center" vertical="center"/>
    </xf>
    <xf numFmtId="164" fontId="33" fillId="0" borderId="84" xfId="5" applyFont="1" applyBorder="1" applyAlignment="1">
      <alignment horizontal="center" vertical="center"/>
    </xf>
    <xf numFmtId="164" fontId="33" fillId="0" borderId="79" xfId="0" applyNumberFormat="1" applyFont="1" applyBorder="1" applyAlignment="1">
      <alignment horizontal="center" vertical="center"/>
    </xf>
    <xf numFmtId="164" fontId="33" fillId="0" borderId="81" xfId="0" applyNumberFormat="1" applyFont="1" applyBorder="1" applyAlignment="1">
      <alignment horizontal="center" vertical="center"/>
    </xf>
    <xf numFmtId="164" fontId="33" fillId="0" borderId="84" xfId="0" applyNumberFormat="1" applyFont="1" applyBorder="1" applyAlignment="1">
      <alignment horizontal="center" vertical="center"/>
    </xf>
  </cellXfs>
  <cellStyles count="8">
    <cellStyle name="Millares [0]" xfId="7" builtinId="6"/>
    <cellStyle name="Millares [0] 2" xfId="3"/>
    <cellStyle name="Moneda [0]" xfId="5" builtinId="7"/>
    <cellStyle name="Normal" xfId="0" builtinId="0"/>
    <cellStyle name="Normal 2" xfId="1"/>
    <cellStyle name="Normal 3" xfId="2"/>
    <cellStyle name="Porcentaje" xfId="6" builtinId="5"/>
    <cellStyle name="Porcentaje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</xdr:colOff>
      <xdr:row>0</xdr:row>
      <xdr:rowOff>21981</xdr:rowOff>
    </xdr:from>
    <xdr:to>
      <xdr:col>6</xdr:col>
      <xdr:colOff>970602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21981"/>
          <a:ext cx="6975231" cy="1315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65485</xdr:colOff>
      <xdr:row>0</xdr:row>
      <xdr:rowOff>161925</xdr:rowOff>
    </xdr:from>
    <xdr:to>
      <xdr:col>6</xdr:col>
      <xdr:colOff>1065610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260380-F6F5-4E7C-96EE-1E29EC8C5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710" y="161925"/>
          <a:ext cx="6429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207"/>
  <sheetViews>
    <sheetView showGridLines="0" tabSelected="1" view="pageBreakPreview" topLeftCell="B1" zoomScaleNormal="100" zoomScaleSheetLayoutView="100" workbookViewId="0">
      <selection activeCell="I21" sqref="I2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0" style="1" customWidth="1"/>
    <col min="3" max="3" width="17" style="1" customWidth="1"/>
    <col min="4" max="4" width="14.85546875" style="1" customWidth="1"/>
    <col min="5" max="5" width="9.5703125" style="1" customWidth="1"/>
    <col min="6" max="6" width="18.7109375" style="1" customWidth="1"/>
    <col min="7" max="7" width="17.140625" style="108" customWidth="1"/>
    <col min="8" max="8" width="15.42578125" style="1" customWidth="1"/>
    <col min="9" max="9" width="47.85546875" style="1" customWidth="1"/>
    <col min="10" max="10" width="17.7109375" style="1" customWidth="1"/>
    <col min="11" max="11" width="17.7109375" style="297" customWidth="1"/>
    <col min="12" max="226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8"/>
    </row>
    <row r="2" spans="1:7" ht="15" customHeight="1" x14ac:dyDescent="0.25">
      <c r="A2" s="2"/>
      <c r="B2" s="2"/>
      <c r="C2" s="2"/>
      <c r="D2" s="2"/>
      <c r="E2" s="2"/>
      <c r="F2" s="2"/>
      <c r="G2" s="98"/>
    </row>
    <row r="3" spans="1:7" ht="15" customHeight="1" x14ac:dyDescent="0.25">
      <c r="A3" s="2"/>
      <c r="B3" s="2"/>
      <c r="C3" s="2"/>
      <c r="D3" s="2"/>
      <c r="E3" s="2"/>
      <c r="F3" s="2"/>
      <c r="G3" s="98"/>
    </row>
    <row r="4" spans="1:7" ht="15" customHeight="1" x14ac:dyDescent="0.25">
      <c r="A4" s="2"/>
      <c r="B4" s="2"/>
      <c r="C4" s="2"/>
      <c r="D4" s="2"/>
      <c r="E4" s="2"/>
      <c r="F4" s="2"/>
      <c r="G4" s="98"/>
    </row>
    <row r="5" spans="1:7" ht="15" customHeight="1" x14ac:dyDescent="0.25">
      <c r="A5" s="2"/>
      <c r="B5" s="2"/>
      <c r="C5" s="2"/>
      <c r="D5" s="2"/>
      <c r="E5" s="2"/>
      <c r="F5" s="2"/>
      <c r="G5" s="98"/>
    </row>
    <row r="6" spans="1:7" ht="15" customHeight="1" x14ac:dyDescent="0.25">
      <c r="A6" s="2"/>
      <c r="B6" s="2"/>
      <c r="C6" s="2"/>
      <c r="D6" s="2"/>
      <c r="E6" s="2"/>
      <c r="F6" s="2"/>
      <c r="G6" s="98"/>
    </row>
    <row r="7" spans="1:7" ht="15" customHeight="1" x14ac:dyDescent="0.25">
      <c r="A7" s="2"/>
      <c r="B7" s="2"/>
      <c r="C7" s="2"/>
      <c r="D7" s="2"/>
      <c r="E7" s="2"/>
      <c r="F7" s="2"/>
      <c r="G7" s="98"/>
    </row>
    <row r="8" spans="1:7" ht="15" customHeight="1" x14ac:dyDescent="0.25">
      <c r="A8" s="2"/>
      <c r="B8" s="3"/>
      <c r="C8" s="4"/>
      <c r="D8" s="2"/>
      <c r="E8" s="4"/>
      <c r="F8" s="4"/>
      <c r="G8" s="263"/>
    </row>
    <row r="9" spans="1:7" ht="24.75" customHeight="1" x14ac:dyDescent="0.25">
      <c r="A9" s="5"/>
      <c r="B9" s="6" t="s">
        <v>0</v>
      </c>
      <c r="C9" s="204" t="s">
        <v>63</v>
      </c>
      <c r="D9" s="7"/>
      <c r="E9" s="350" t="s">
        <v>65</v>
      </c>
      <c r="F9" s="351"/>
      <c r="G9" s="264">
        <v>130000</v>
      </c>
    </row>
    <row r="10" spans="1:7" ht="37.5" customHeight="1" x14ac:dyDescent="0.25">
      <c r="A10" s="5"/>
      <c r="B10" s="8" t="s">
        <v>1</v>
      </c>
      <c r="C10" s="296" t="s">
        <v>201</v>
      </c>
      <c r="D10" s="9"/>
      <c r="E10" s="352" t="s">
        <v>2</v>
      </c>
      <c r="F10" s="353"/>
      <c r="G10" s="265" t="s">
        <v>126</v>
      </c>
    </row>
    <row r="11" spans="1:7" ht="18" customHeight="1" x14ac:dyDescent="0.25">
      <c r="A11" s="5"/>
      <c r="B11" s="8" t="s">
        <v>3</v>
      </c>
      <c r="C11" s="144" t="s">
        <v>146</v>
      </c>
      <c r="D11" s="9"/>
      <c r="E11" s="352" t="s">
        <v>159</v>
      </c>
      <c r="F11" s="353"/>
      <c r="G11" s="266">
        <v>527</v>
      </c>
    </row>
    <row r="12" spans="1:7" ht="11.25" customHeight="1" x14ac:dyDescent="0.25">
      <c r="A12" s="5"/>
      <c r="B12" s="8" t="s">
        <v>4</v>
      </c>
      <c r="C12" s="132" t="s">
        <v>64</v>
      </c>
      <c r="D12" s="9"/>
      <c r="E12" s="10" t="s">
        <v>5</v>
      </c>
      <c r="F12" s="292"/>
      <c r="G12" s="267">
        <f>G11*G9</f>
        <v>68510000</v>
      </c>
    </row>
    <row r="13" spans="1:7" ht="11.25" customHeight="1" x14ac:dyDescent="0.25">
      <c r="A13" s="5"/>
      <c r="B13" s="8" t="s">
        <v>6</v>
      </c>
      <c r="C13" s="132" t="s">
        <v>212</v>
      </c>
      <c r="D13" s="9"/>
      <c r="E13" s="352" t="s">
        <v>7</v>
      </c>
      <c r="F13" s="353"/>
      <c r="G13" s="265" t="s">
        <v>127</v>
      </c>
    </row>
    <row r="14" spans="1:7" ht="13.5" customHeight="1" x14ac:dyDescent="0.25">
      <c r="A14" s="5"/>
      <c r="B14" s="8" t="s">
        <v>8</v>
      </c>
      <c r="C14" s="132" t="s">
        <v>212</v>
      </c>
      <c r="D14" s="9"/>
      <c r="E14" s="352" t="s">
        <v>9</v>
      </c>
      <c r="F14" s="353"/>
      <c r="G14" s="265" t="s">
        <v>126</v>
      </c>
    </row>
    <row r="15" spans="1:7" ht="16.5" customHeight="1" x14ac:dyDescent="0.25">
      <c r="A15" s="5"/>
      <c r="B15" s="8" t="s">
        <v>10</v>
      </c>
      <c r="C15" s="294">
        <v>44958</v>
      </c>
      <c r="D15" s="9"/>
      <c r="E15" s="354" t="s">
        <v>11</v>
      </c>
      <c r="F15" s="355"/>
      <c r="G15" s="268" t="s">
        <v>128</v>
      </c>
    </row>
    <row r="16" spans="1:7" ht="12" customHeight="1" x14ac:dyDescent="0.25">
      <c r="A16" s="2"/>
      <c r="B16" s="12"/>
      <c r="C16" s="13"/>
      <c r="D16" s="14"/>
      <c r="E16" s="15"/>
      <c r="F16" s="15"/>
      <c r="G16" s="293"/>
    </row>
    <row r="17" spans="1:7" ht="12" customHeight="1" x14ac:dyDescent="0.25">
      <c r="A17" s="16"/>
      <c r="B17" s="356" t="s">
        <v>12</v>
      </c>
      <c r="C17" s="357"/>
      <c r="D17" s="357"/>
      <c r="E17" s="357"/>
      <c r="F17" s="357"/>
      <c r="G17" s="358"/>
    </row>
    <row r="18" spans="1:7" ht="12" customHeight="1" x14ac:dyDescent="0.25">
      <c r="A18" s="2"/>
      <c r="B18" s="17"/>
      <c r="C18" s="18"/>
      <c r="D18" s="18"/>
      <c r="E18" s="18"/>
      <c r="F18" s="19"/>
      <c r="G18" s="218"/>
    </row>
    <row r="19" spans="1:7" ht="12" customHeight="1" x14ac:dyDescent="0.25">
      <c r="A19" s="5"/>
      <c r="B19" s="20" t="s">
        <v>13</v>
      </c>
      <c r="C19" s="21"/>
      <c r="D19" s="22"/>
      <c r="E19" s="22"/>
      <c r="F19" s="22"/>
      <c r="G19" s="219"/>
    </row>
    <row r="20" spans="1:7" ht="24" customHeight="1" x14ac:dyDescent="0.25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91" t="s">
        <v>19</v>
      </c>
    </row>
    <row r="21" spans="1:7" ht="27" customHeight="1" x14ac:dyDescent="0.25">
      <c r="A21" s="16"/>
      <c r="B21" s="133" t="s">
        <v>175</v>
      </c>
      <c r="C21" s="24"/>
      <c r="D21" s="91"/>
      <c r="E21" s="24"/>
      <c r="F21" s="221"/>
      <c r="G21" s="270"/>
    </row>
    <row r="22" spans="1:7" ht="25.5" customHeight="1" x14ac:dyDescent="0.25">
      <c r="A22" s="16"/>
      <c r="B22" s="171" t="s">
        <v>174</v>
      </c>
      <c r="C22" s="171" t="s">
        <v>20</v>
      </c>
      <c r="D22" s="172">
        <v>18</v>
      </c>
      <c r="E22" s="171" t="s">
        <v>66</v>
      </c>
      <c r="F22" s="222">
        <v>75000</v>
      </c>
      <c r="G22" s="234">
        <f>D22*F22/3</f>
        <v>450000</v>
      </c>
    </row>
    <row r="23" spans="1:7" ht="12.75" customHeight="1" x14ac:dyDescent="0.25">
      <c r="A23" s="16"/>
      <c r="B23" s="174" t="s">
        <v>181</v>
      </c>
      <c r="C23" s="175"/>
      <c r="D23" s="176"/>
      <c r="E23" s="175"/>
      <c r="F23" s="191"/>
      <c r="G23" s="235"/>
    </row>
    <row r="24" spans="1:7" ht="12.75" customHeight="1" x14ac:dyDescent="0.25">
      <c r="A24" s="16"/>
      <c r="B24" s="178" t="s">
        <v>68</v>
      </c>
      <c r="C24" s="175" t="s">
        <v>20</v>
      </c>
      <c r="D24" s="176">
        <v>12</v>
      </c>
      <c r="E24" s="175" t="s">
        <v>69</v>
      </c>
      <c r="F24" s="191">
        <v>27000</v>
      </c>
      <c r="G24" s="235">
        <f t="shared" ref="G24:G29" si="0">D24*F24</f>
        <v>324000</v>
      </c>
    </row>
    <row r="25" spans="1:7" ht="12.75" customHeight="1" x14ac:dyDescent="0.25">
      <c r="A25" s="16"/>
      <c r="B25" s="178" t="s">
        <v>70</v>
      </c>
      <c r="C25" s="189" t="s">
        <v>20</v>
      </c>
      <c r="D25" s="176">
        <v>3</v>
      </c>
      <c r="E25" s="175" t="s">
        <v>69</v>
      </c>
      <c r="F25" s="191">
        <v>27000</v>
      </c>
      <c r="G25" s="235">
        <f t="shared" si="0"/>
        <v>81000</v>
      </c>
    </row>
    <row r="26" spans="1:7" ht="12.75" customHeight="1" x14ac:dyDescent="0.25">
      <c r="A26" s="16"/>
      <c r="B26" s="178" t="s">
        <v>71</v>
      </c>
      <c r="C26" s="175" t="s">
        <v>20</v>
      </c>
      <c r="D26" s="176">
        <v>0.5</v>
      </c>
      <c r="E26" s="175" t="s">
        <v>69</v>
      </c>
      <c r="F26" s="191">
        <v>27000</v>
      </c>
      <c r="G26" s="235">
        <f t="shared" si="0"/>
        <v>13500</v>
      </c>
    </row>
    <row r="27" spans="1:7" ht="12.75" customHeight="1" x14ac:dyDescent="0.25">
      <c r="A27" s="16"/>
      <c r="B27" s="178" t="s">
        <v>72</v>
      </c>
      <c r="C27" s="175" t="s">
        <v>20</v>
      </c>
      <c r="D27" s="176">
        <v>11</v>
      </c>
      <c r="E27" s="175" t="s">
        <v>73</v>
      </c>
      <c r="F27" s="191">
        <v>27000</v>
      </c>
      <c r="G27" s="235">
        <f t="shared" si="0"/>
        <v>297000</v>
      </c>
    </row>
    <row r="28" spans="1:7" ht="12.75" customHeight="1" x14ac:dyDescent="0.25">
      <c r="A28" s="16"/>
      <c r="B28" s="178" t="s">
        <v>74</v>
      </c>
      <c r="C28" s="175" t="s">
        <v>20</v>
      </c>
      <c r="D28" s="176">
        <v>3</v>
      </c>
      <c r="E28" s="175" t="s">
        <v>75</v>
      </c>
      <c r="F28" s="191">
        <v>27000</v>
      </c>
      <c r="G28" s="235">
        <f t="shared" si="0"/>
        <v>81000</v>
      </c>
    </row>
    <row r="29" spans="1:7" ht="12.75" customHeight="1" x14ac:dyDescent="0.25">
      <c r="A29" s="16"/>
      <c r="B29" s="178" t="s">
        <v>76</v>
      </c>
      <c r="C29" s="175" t="s">
        <v>20</v>
      </c>
      <c r="D29" s="176">
        <v>10</v>
      </c>
      <c r="E29" s="175" t="s">
        <v>77</v>
      </c>
      <c r="F29" s="191">
        <v>27000</v>
      </c>
      <c r="G29" s="235">
        <f t="shared" si="0"/>
        <v>270000</v>
      </c>
    </row>
    <row r="30" spans="1:7" ht="12.75" customHeight="1" x14ac:dyDescent="0.25">
      <c r="A30" s="16"/>
      <c r="B30" s="178" t="s">
        <v>78</v>
      </c>
      <c r="C30" s="175" t="s">
        <v>20</v>
      </c>
      <c r="D30" s="176">
        <v>12</v>
      </c>
      <c r="E30" s="175" t="s">
        <v>79</v>
      </c>
      <c r="F30" s="191">
        <v>27000</v>
      </c>
      <c r="G30" s="235">
        <f t="shared" ref="G30:G42" si="1">D30*F30</f>
        <v>324000</v>
      </c>
    </row>
    <row r="31" spans="1:7" ht="12.75" customHeight="1" x14ac:dyDescent="0.25">
      <c r="A31" s="16"/>
      <c r="B31" s="178" t="s">
        <v>80</v>
      </c>
      <c r="C31" s="175" t="s">
        <v>20</v>
      </c>
      <c r="D31" s="179">
        <v>320</v>
      </c>
      <c r="E31" s="175" t="s">
        <v>79</v>
      </c>
      <c r="F31" s="191">
        <v>27000</v>
      </c>
      <c r="G31" s="235">
        <f t="shared" si="1"/>
        <v>8640000</v>
      </c>
    </row>
    <row r="32" spans="1:7" ht="12.75" customHeight="1" x14ac:dyDescent="0.25">
      <c r="A32" s="16"/>
      <c r="B32" s="178" t="s">
        <v>81</v>
      </c>
      <c r="C32" s="175" t="s">
        <v>20</v>
      </c>
      <c r="D32" s="176">
        <v>25</v>
      </c>
      <c r="E32" s="175" t="s">
        <v>82</v>
      </c>
      <c r="F32" s="191">
        <v>27000</v>
      </c>
      <c r="G32" s="235">
        <f t="shared" si="1"/>
        <v>675000</v>
      </c>
    </row>
    <row r="33" spans="1:7" ht="12.75" customHeight="1" x14ac:dyDescent="0.25">
      <c r="A33" s="16"/>
      <c r="B33" s="178" t="s">
        <v>83</v>
      </c>
      <c r="C33" s="175" t="s">
        <v>20</v>
      </c>
      <c r="D33" s="179">
        <v>66.75</v>
      </c>
      <c r="E33" s="175" t="s">
        <v>84</v>
      </c>
      <c r="F33" s="191">
        <v>27000</v>
      </c>
      <c r="G33" s="235">
        <f t="shared" si="1"/>
        <v>1802250</v>
      </c>
    </row>
    <row r="34" spans="1:7" ht="12.75" customHeight="1" x14ac:dyDescent="0.25">
      <c r="A34" s="16"/>
      <c r="B34" s="178" t="s">
        <v>85</v>
      </c>
      <c r="C34" s="175" t="s">
        <v>20</v>
      </c>
      <c r="D34" s="179">
        <v>8.75</v>
      </c>
      <c r="E34" s="175" t="s">
        <v>84</v>
      </c>
      <c r="F34" s="191">
        <v>27000</v>
      </c>
      <c r="G34" s="235">
        <f t="shared" si="1"/>
        <v>236250</v>
      </c>
    </row>
    <row r="35" spans="1:7" ht="12.75" customHeight="1" x14ac:dyDescent="0.25">
      <c r="A35" s="16"/>
      <c r="B35" s="178" t="s">
        <v>86</v>
      </c>
      <c r="C35" s="175" t="s">
        <v>20</v>
      </c>
      <c r="D35" s="176">
        <v>4</v>
      </c>
      <c r="E35" s="175" t="s">
        <v>61</v>
      </c>
      <c r="F35" s="191">
        <v>27000</v>
      </c>
      <c r="G35" s="235">
        <f t="shared" si="1"/>
        <v>108000</v>
      </c>
    </row>
    <row r="36" spans="1:7" ht="12.75" customHeight="1" x14ac:dyDescent="0.25">
      <c r="A36" s="16"/>
      <c r="B36" s="178" t="s">
        <v>87</v>
      </c>
      <c r="C36" s="175" t="s">
        <v>20</v>
      </c>
      <c r="D36" s="176">
        <v>12</v>
      </c>
      <c r="E36" s="175" t="s">
        <v>84</v>
      </c>
      <c r="F36" s="191">
        <v>27000</v>
      </c>
      <c r="G36" s="235">
        <f t="shared" si="1"/>
        <v>324000</v>
      </c>
    </row>
    <row r="37" spans="1:7" ht="12.75" customHeight="1" x14ac:dyDescent="0.25">
      <c r="A37" s="16"/>
      <c r="B37" s="178" t="s">
        <v>88</v>
      </c>
      <c r="C37" s="175" t="s">
        <v>20</v>
      </c>
      <c r="D37" s="179">
        <v>24</v>
      </c>
      <c r="E37" s="175" t="s">
        <v>89</v>
      </c>
      <c r="F37" s="191">
        <v>27000</v>
      </c>
      <c r="G37" s="235">
        <f t="shared" si="1"/>
        <v>648000</v>
      </c>
    </row>
    <row r="38" spans="1:7" ht="12.75" customHeight="1" x14ac:dyDescent="0.25">
      <c r="A38" s="16"/>
      <c r="B38" s="178" t="s">
        <v>90</v>
      </c>
      <c r="C38" s="175" t="s">
        <v>20</v>
      </c>
      <c r="D38" s="176">
        <v>15</v>
      </c>
      <c r="E38" s="175" t="s">
        <v>89</v>
      </c>
      <c r="F38" s="191">
        <v>27000</v>
      </c>
      <c r="G38" s="235">
        <f t="shared" si="1"/>
        <v>405000</v>
      </c>
    </row>
    <row r="39" spans="1:7" ht="12.75" customHeight="1" x14ac:dyDescent="0.25">
      <c r="A39" s="16"/>
      <c r="B39" s="174" t="s">
        <v>147</v>
      </c>
      <c r="C39" s="175"/>
      <c r="D39" s="176"/>
      <c r="E39" s="175"/>
      <c r="F39" s="191"/>
      <c r="G39" s="235"/>
    </row>
    <row r="40" spans="1:7" ht="12.75" customHeight="1" x14ac:dyDescent="0.25">
      <c r="A40" s="16"/>
      <c r="B40" s="178" t="s">
        <v>140</v>
      </c>
      <c r="C40" s="175" t="s">
        <v>20</v>
      </c>
      <c r="D40" s="176">
        <v>112</v>
      </c>
      <c r="E40" s="175" t="s">
        <v>173</v>
      </c>
      <c r="F40" s="191">
        <v>27000</v>
      </c>
      <c r="G40" s="235">
        <f t="shared" si="1"/>
        <v>3024000</v>
      </c>
    </row>
    <row r="41" spans="1:7" ht="27" customHeight="1" x14ac:dyDescent="0.25">
      <c r="A41" s="16"/>
      <c r="B41" s="174" t="s">
        <v>148</v>
      </c>
      <c r="C41" s="175"/>
      <c r="D41" s="176"/>
      <c r="E41" s="175"/>
      <c r="F41" s="191"/>
      <c r="G41" s="235"/>
    </row>
    <row r="42" spans="1:7" ht="12.75" customHeight="1" x14ac:dyDescent="0.25">
      <c r="A42" s="16"/>
      <c r="B42" s="178" t="s">
        <v>180</v>
      </c>
      <c r="C42" s="175" t="s">
        <v>20</v>
      </c>
      <c r="D42" s="176">
        <v>56</v>
      </c>
      <c r="E42" s="175" t="s">
        <v>173</v>
      </c>
      <c r="F42" s="191">
        <v>27000</v>
      </c>
      <c r="G42" s="235">
        <f t="shared" si="1"/>
        <v>1512000</v>
      </c>
    </row>
    <row r="43" spans="1:7" ht="12.75" customHeight="1" x14ac:dyDescent="0.25">
      <c r="A43" s="16"/>
      <c r="B43" s="25" t="s">
        <v>21</v>
      </c>
      <c r="C43" s="26" t="s">
        <v>20</v>
      </c>
      <c r="D43" s="26">
        <f>SUM(D22:D42)</f>
        <v>713</v>
      </c>
      <c r="E43" s="26" t="s">
        <v>202</v>
      </c>
      <c r="F43" s="299">
        <f>SUM(F22:F42)</f>
        <v>534000</v>
      </c>
      <c r="G43" s="236">
        <f>SUM(G21:G42)</f>
        <v>19215000</v>
      </c>
    </row>
    <row r="44" spans="1:7" ht="12" customHeight="1" x14ac:dyDescent="0.25">
      <c r="A44" s="2"/>
      <c r="B44" s="17"/>
      <c r="C44" s="19"/>
      <c r="D44" s="19"/>
      <c r="E44" s="19"/>
      <c r="F44" s="277"/>
      <c r="G44" s="271"/>
    </row>
    <row r="45" spans="1:7" ht="12" customHeight="1" x14ac:dyDescent="0.25">
      <c r="A45" s="5"/>
      <c r="B45" s="29" t="s">
        <v>22</v>
      </c>
      <c r="C45" s="30"/>
      <c r="D45" s="31"/>
      <c r="E45" s="31"/>
      <c r="F45" s="278"/>
      <c r="G45" s="269"/>
    </row>
    <row r="46" spans="1:7" ht="24" customHeight="1" x14ac:dyDescent="0.25">
      <c r="A46" s="5"/>
      <c r="B46" s="33" t="s">
        <v>14</v>
      </c>
      <c r="C46" s="34" t="s">
        <v>15</v>
      </c>
      <c r="D46" s="34" t="s">
        <v>16</v>
      </c>
      <c r="E46" s="33" t="s">
        <v>57</v>
      </c>
      <c r="F46" s="279" t="s">
        <v>18</v>
      </c>
      <c r="G46" s="272" t="s">
        <v>19</v>
      </c>
    </row>
    <row r="47" spans="1:7" ht="12" customHeight="1" x14ac:dyDescent="0.25">
      <c r="A47" s="5"/>
      <c r="B47" s="35" t="s">
        <v>91</v>
      </c>
      <c r="C47" s="36" t="s">
        <v>91</v>
      </c>
      <c r="D47" s="36" t="s">
        <v>91</v>
      </c>
      <c r="E47" s="36" t="s">
        <v>91</v>
      </c>
      <c r="F47" s="280"/>
      <c r="G47" s="273"/>
    </row>
    <row r="48" spans="1:7" ht="12" customHeight="1" x14ac:dyDescent="0.25">
      <c r="A48" s="5"/>
      <c r="B48" s="37" t="s">
        <v>23</v>
      </c>
      <c r="C48" s="38"/>
      <c r="D48" s="38"/>
      <c r="E48" s="38"/>
      <c r="F48" s="281"/>
      <c r="G48" s="274"/>
    </row>
    <row r="49" spans="1:7" ht="12" customHeight="1" x14ac:dyDescent="0.25">
      <c r="A49" s="2"/>
      <c r="B49" s="40"/>
      <c r="C49" s="41"/>
      <c r="D49" s="41"/>
      <c r="E49" s="41"/>
      <c r="F49" s="282"/>
      <c r="G49" s="271"/>
    </row>
    <row r="50" spans="1:7" ht="12" customHeight="1" x14ac:dyDescent="0.25">
      <c r="A50" s="5"/>
      <c r="B50" s="29" t="s">
        <v>24</v>
      </c>
      <c r="C50" s="30"/>
      <c r="D50" s="31"/>
      <c r="E50" s="31"/>
      <c r="F50" s="278"/>
      <c r="G50" s="269"/>
    </row>
    <row r="51" spans="1:7" ht="24" customHeight="1" x14ac:dyDescent="0.25">
      <c r="A51" s="5"/>
      <c r="B51" s="43" t="s">
        <v>14</v>
      </c>
      <c r="C51" s="43" t="s">
        <v>15</v>
      </c>
      <c r="D51" s="43" t="s">
        <v>16</v>
      </c>
      <c r="E51" s="43" t="s">
        <v>17</v>
      </c>
      <c r="F51" s="283" t="s">
        <v>18</v>
      </c>
      <c r="G51" s="272" t="s">
        <v>19</v>
      </c>
    </row>
    <row r="52" spans="1:7" ht="41.25" customHeight="1" x14ac:dyDescent="0.25">
      <c r="A52" s="16"/>
      <c r="B52" s="233" t="s">
        <v>169</v>
      </c>
      <c r="C52" s="171" t="s">
        <v>92</v>
      </c>
      <c r="D52" s="300">
        <f>14.5+12</f>
        <v>26.5</v>
      </c>
      <c r="E52" s="171" t="s">
        <v>73</v>
      </c>
      <c r="F52" s="222">
        <f>18000*1.19</f>
        <v>21420</v>
      </c>
      <c r="G52" s="234">
        <f>D52*F52/2</f>
        <v>283815</v>
      </c>
    </row>
    <row r="53" spans="1:7" ht="36.75" customHeight="1" x14ac:dyDescent="0.25">
      <c r="A53" s="16"/>
      <c r="B53" s="168" t="s">
        <v>185</v>
      </c>
      <c r="C53" s="168" t="s">
        <v>93</v>
      </c>
      <c r="D53" s="169">
        <f>120*48</f>
        <v>5760</v>
      </c>
      <c r="E53" s="168" t="s">
        <v>73</v>
      </c>
      <c r="F53" s="224">
        <v>688</v>
      </c>
      <c r="G53" s="275">
        <f>D53*F53/2</f>
        <v>1981440</v>
      </c>
    </row>
    <row r="54" spans="1:7" ht="12.75" customHeight="1" x14ac:dyDescent="0.25">
      <c r="A54" s="5"/>
      <c r="B54" s="45" t="s">
        <v>25</v>
      </c>
      <c r="C54" s="46"/>
      <c r="D54" s="46"/>
      <c r="E54" s="46"/>
      <c r="F54" s="284"/>
      <c r="G54" s="236">
        <f>SUM(G52:G53)</f>
        <v>2265255</v>
      </c>
    </row>
    <row r="55" spans="1:7" ht="12" customHeight="1" x14ac:dyDescent="0.25">
      <c r="A55" s="2"/>
      <c r="B55" s="40"/>
      <c r="C55" s="41"/>
      <c r="D55" s="41"/>
      <c r="E55" s="41"/>
      <c r="F55" s="282"/>
      <c r="G55" s="271"/>
    </row>
    <row r="56" spans="1:7" ht="12" customHeight="1" x14ac:dyDescent="0.25">
      <c r="A56" s="5"/>
      <c r="B56" s="29" t="s">
        <v>26</v>
      </c>
      <c r="C56" s="30"/>
      <c r="D56" s="31"/>
      <c r="E56" s="31"/>
      <c r="F56" s="278"/>
      <c r="G56" s="269"/>
    </row>
    <row r="57" spans="1:7" ht="24" customHeight="1" x14ac:dyDescent="0.25">
      <c r="A57" s="5"/>
      <c r="B57" s="93" t="s">
        <v>27</v>
      </c>
      <c r="C57" s="93" t="s">
        <v>28</v>
      </c>
      <c r="D57" s="93" t="s">
        <v>29</v>
      </c>
      <c r="E57" s="93" t="s">
        <v>17</v>
      </c>
      <c r="F57" s="285" t="s">
        <v>18</v>
      </c>
      <c r="G57" s="276" t="s">
        <v>19</v>
      </c>
    </row>
    <row r="58" spans="1:7" ht="12.75" customHeight="1" x14ac:dyDescent="0.25">
      <c r="A58" s="56"/>
      <c r="B58" s="130" t="s">
        <v>151</v>
      </c>
      <c r="C58" s="96"/>
      <c r="D58" s="95"/>
      <c r="E58" s="96"/>
      <c r="F58" s="286"/>
      <c r="G58" s="95"/>
    </row>
    <row r="59" spans="1:7" ht="24" customHeight="1" x14ac:dyDescent="0.25">
      <c r="A59" s="56"/>
      <c r="B59" s="244" t="s">
        <v>177</v>
      </c>
      <c r="C59" s="158" t="s">
        <v>60</v>
      </c>
      <c r="D59" s="159">
        <f>2850-500</f>
        <v>2350</v>
      </c>
      <c r="E59" s="158" t="s">
        <v>67</v>
      </c>
      <c r="F59" s="245">
        <v>5031.32</v>
      </c>
      <c r="G59" s="160">
        <f>D59*F59/3</f>
        <v>3941200.6666666665</v>
      </c>
    </row>
    <row r="60" spans="1:7" ht="31.5" customHeight="1" x14ac:dyDescent="0.25">
      <c r="A60" s="56"/>
      <c r="B60" s="246" t="s">
        <v>183</v>
      </c>
      <c r="C60" s="158" t="s">
        <v>94</v>
      </c>
      <c r="D60" s="159">
        <v>500</v>
      </c>
      <c r="E60" s="158" t="s">
        <v>67</v>
      </c>
      <c r="F60" s="245">
        <v>4879</v>
      </c>
      <c r="G60" s="160">
        <f>D60*F60/2</f>
        <v>1219750</v>
      </c>
    </row>
    <row r="61" spans="1:7" ht="26.25" customHeight="1" x14ac:dyDescent="0.25">
      <c r="A61" s="56"/>
      <c r="B61" s="246" t="s">
        <v>178</v>
      </c>
      <c r="C61" s="158" t="s">
        <v>60</v>
      </c>
      <c r="D61" s="159">
        <v>330</v>
      </c>
      <c r="E61" s="158" t="s">
        <v>67</v>
      </c>
      <c r="F61" s="245">
        <v>4607.6799999999994</v>
      </c>
      <c r="G61" s="160">
        <f>D61*F61/3</f>
        <v>506844.8</v>
      </c>
    </row>
    <row r="62" spans="1:7" ht="24.75" customHeight="1" x14ac:dyDescent="0.25">
      <c r="A62" s="56"/>
      <c r="B62" s="246" t="s">
        <v>179</v>
      </c>
      <c r="C62" s="158" t="s">
        <v>60</v>
      </c>
      <c r="D62" s="159">
        <v>230</v>
      </c>
      <c r="E62" s="158" t="s">
        <v>67</v>
      </c>
      <c r="F62" s="245">
        <v>5031.32</v>
      </c>
      <c r="G62" s="160">
        <f>D62*F62/3</f>
        <v>385734.53333333327</v>
      </c>
    </row>
    <row r="63" spans="1:7" ht="26.25" customHeight="1" x14ac:dyDescent="0.25">
      <c r="A63" s="56"/>
      <c r="B63" s="246" t="s">
        <v>161</v>
      </c>
      <c r="C63" s="158" t="s">
        <v>60</v>
      </c>
      <c r="D63" s="159">
        <v>215</v>
      </c>
      <c r="E63" s="158" t="s">
        <v>67</v>
      </c>
      <c r="F63" s="245">
        <v>5031.32</v>
      </c>
      <c r="G63" s="160">
        <f>D63*F63/3</f>
        <v>360577.93333333335</v>
      </c>
    </row>
    <row r="64" spans="1:7" ht="23.25" customHeight="1" x14ac:dyDescent="0.25">
      <c r="A64" s="56"/>
      <c r="B64" s="246" t="s">
        <v>162</v>
      </c>
      <c r="C64" s="158" t="s">
        <v>60</v>
      </c>
      <c r="D64" s="159">
        <v>80</v>
      </c>
      <c r="E64" s="158" t="s">
        <v>67</v>
      </c>
      <c r="F64" s="245">
        <v>4879</v>
      </c>
      <c r="G64" s="160">
        <f>D64*F64/2</f>
        <v>195160</v>
      </c>
    </row>
    <row r="65" spans="1:226" ht="35.25" customHeight="1" x14ac:dyDescent="0.25">
      <c r="A65" s="56"/>
      <c r="B65" s="246" t="s">
        <v>182</v>
      </c>
      <c r="C65" s="158" t="s">
        <v>160</v>
      </c>
      <c r="D65" s="159">
        <v>14</v>
      </c>
      <c r="E65" s="158" t="s">
        <v>67</v>
      </c>
      <c r="F65" s="245">
        <v>333200</v>
      </c>
      <c r="G65" s="160">
        <f>D65*F65/8</f>
        <v>583100</v>
      </c>
    </row>
    <row r="66" spans="1:226" ht="28.5" customHeight="1" x14ac:dyDescent="0.25">
      <c r="A66" s="56"/>
      <c r="B66" s="137" t="s">
        <v>164</v>
      </c>
      <c r="C66" s="139" t="s">
        <v>163</v>
      </c>
      <c r="D66" s="134">
        <v>4</v>
      </c>
      <c r="E66" s="158" t="s">
        <v>67</v>
      </c>
      <c r="F66" s="247">
        <v>49980</v>
      </c>
      <c r="G66" s="243">
        <f>D66*F66/8</f>
        <v>24990</v>
      </c>
    </row>
    <row r="67" spans="1:226" ht="34.5" customHeight="1" x14ac:dyDescent="0.25">
      <c r="A67" s="56"/>
      <c r="B67" s="295" t="s">
        <v>200</v>
      </c>
      <c r="C67" s="158" t="s">
        <v>60</v>
      </c>
      <c r="D67" s="159">
        <v>420</v>
      </c>
      <c r="E67" s="158" t="s">
        <v>67</v>
      </c>
      <c r="F67" s="245">
        <v>6693.75</v>
      </c>
      <c r="G67" s="160">
        <f>D67*F67/2</f>
        <v>1405687.5</v>
      </c>
    </row>
    <row r="68" spans="1:226" s="142" customFormat="1" ht="12.75" customHeight="1" x14ac:dyDescent="0.25">
      <c r="A68" s="140"/>
      <c r="B68" s="143" t="s">
        <v>165</v>
      </c>
      <c r="C68" s="158"/>
      <c r="D68" s="159"/>
      <c r="E68" s="158"/>
      <c r="F68" s="245"/>
      <c r="G68" s="160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1"/>
      <c r="FF68" s="141"/>
      <c r="FG68" s="141"/>
      <c r="FH68" s="141"/>
      <c r="FI68" s="141"/>
      <c r="FJ68" s="141"/>
      <c r="FK68" s="141"/>
      <c r="FL68" s="141"/>
      <c r="FM68" s="141"/>
      <c r="FN68" s="141"/>
      <c r="FO68" s="141"/>
      <c r="FP68" s="141"/>
      <c r="FQ68" s="141"/>
      <c r="FR68" s="141"/>
      <c r="FS68" s="141"/>
      <c r="FT68" s="141"/>
      <c r="FU68" s="141"/>
      <c r="FV68" s="141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</row>
    <row r="69" spans="1:226" ht="24.75" customHeight="1" x14ac:dyDescent="0.25">
      <c r="A69" s="56"/>
      <c r="B69" s="248" t="s">
        <v>176</v>
      </c>
      <c r="C69" s="249" t="s">
        <v>93</v>
      </c>
      <c r="D69" s="250">
        <v>11520</v>
      </c>
      <c r="E69" s="249" t="s">
        <v>75</v>
      </c>
      <c r="F69" s="287">
        <v>79</v>
      </c>
      <c r="G69" s="251">
        <f>D69*F69/2</f>
        <v>455040</v>
      </c>
    </row>
    <row r="70" spans="1:226" ht="24.75" customHeight="1" x14ac:dyDescent="0.25">
      <c r="A70" s="301"/>
      <c r="B70" s="231" t="s">
        <v>167</v>
      </c>
      <c r="C70" s="183" t="s">
        <v>166</v>
      </c>
      <c r="D70" s="232">
        <v>1</v>
      </c>
      <c r="E70" s="183" t="s">
        <v>168</v>
      </c>
      <c r="F70" s="225">
        <v>10000000</v>
      </c>
      <c r="G70" s="185">
        <f>D70*F70/8</f>
        <v>1250000</v>
      </c>
    </row>
    <row r="71" spans="1:226" ht="12.75" customHeight="1" x14ac:dyDescent="0.25">
      <c r="A71" s="56"/>
      <c r="B71" s="130" t="s">
        <v>150</v>
      </c>
      <c r="C71" s="92"/>
      <c r="D71" s="94"/>
      <c r="E71" s="92"/>
      <c r="F71" s="226"/>
      <c r="G71" s="95"/>
    </row>
    <row r="72" spans="1:226" ht="12.75" customHeight="1" x14ac:dyDescent="0.25">
      <c r="A72" s="56"/>
      <c r="B72" s="238" t="s">
        <v>144</v>
      </c>
      <c r="C72" s="198" t="s">
        <v>59</v>
      </c>
      <c r="D72" s="199">
        <v>14000</v>
      </c>
      <c r="E72" s="198" t="s">
        <v>73</v>
      </c>
      <c r="F72" s="255">
        <v>773.5</v>
      </c>
      <c r="G72" s="200">
        <f t="shared" ref="G72:G103" si="2">D72*F72</f>
        <v>10829000</v>
      </c>
    </row>
    <row r="73" spans="1:226" ht="12.75" customHeight="1" x14ac:dyDescent="0.25">
      <c r="A73" s="56"/>
      <c r="B73" s="141"/>
      <c r="C73" s="198"/>
      <c r="D73" s="199"/>
      <c r="E73" s="198"/>
      <c r="F73" s="255"/>
      <c r="G73" s="200"/>
    </row>
    <row r="74" spans="1:226" ht="12.75" customHeight="1" x14ac:dyDescent="0.25">
      <c r="A74" s="56"/>
      <c r="B74" s="239" t="s">
        <v>58</v>
      </c>
      <c r="C74" s="198"/>
      <c r="D74" s="199"/>
      <c r="E74" s="198"/>
      <c r="F74" s="255"/>
      <c r="G74" s="200"/>
    </row>
    <row r="75" spans="1:226" ht="12.75" customHeight="1" x14ac:dyDescent="0.25">
      <c r="A75" s="56"/>
      <c r="B75" s="197" t="s">
        <v>96</v>
      </c>
      <c r="C75" s="198" t="s">
        <v>97</v>
      </c>
      <c r="D75" s="199">
        <v>50</v>
      </c>
      <c r="E75" s="198" t="s">
        <v>73</v>
      </c>
      <c r="F75" s="255">
        <v>8000</v>
      </c>
      <c r="G75" s="200">
        <f t="shared" si="2"/>
        <v>400000</v>
      </c>
    </row>
    <row r="76" spans="1:226" ht="12.75" customHeight="1" x14ac:dyDescent="0.25">
      <c r="A76" s="56"/>
      <c r="B76" s="197" t="s">
        <v>98</v>
      </c>
      <c r="C76" s="198" t="s">
        <v>94</v>
      </c>
      <c r="D76" s="199">
        <v>250</v>
      </c>
      <c r="E76" s="198" t="s">
        <v>73</v>
      </c>
      <c r="F76" s="255">
        <v>1076.95</v>
      </c>
      <c r="G76" s="200">
        <f t="shared" si="2"/>
        <v>269237.5</v>
      </c>
    </row>
    <row r="77" spans="1:226" ht="12.75" customHeight="1" x14ac:dyDescent="0.25">
      <c r="A77" s="56"/>
      <c r="B77" s="197" t="s">
        <v>99</v>
      </c>
      <c r="C77" s="198" t="s">
        <v>94</v>
      </c>
      <c r="D77" s="199">
        <v>200</v>
      </c>
      <c r="E77" s="198" t="s">
        <v>100</v>
      </c>
      <c r="F77" s="255">
        <v>3492.6499999999996</v>
      </c>
      <c r="G77" s="200">
        <f t="shared" si="2"/>
        <v>698529.99999999988</v>
      </c>
    </row>
    <row r="78" spans="1:226" s="142" customFormat="1" ht="12.75" customHeight="1" x14ac:dyDescent="0.25">
      <c r="A78" s="140"/>
      <c r="B78" s="197" t="s">
        <v>101</v>
      </c>
      <c r="C78" s="198" t="s">
        <v>102</v>
      </c>
      <c r="D78" s="199">
        <v>1300</v>
      </c>
      <c r="E78" s="198" t="s">
        <v>84</v>
      </c>
      <c r="F78" s="255">
        <v>1392.3</v>
      </c>
      <c r="G78" s="200">
        <f t="shared" si="2"/>
        <v>1809990</v>
      </c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/>
      <c r="FI78" s="141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41"/>
      <c r="FU78" s="141"/>
      <c r="FV78" s="141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</row>
    <row r="79" spans="1:226" s="142" customFormat="1" ht="12.75" customHeight="1" x14ac:dyDescent="0.25">
      <c r="A79" s="140"/>
      <c r="B79" s="197" t="s">
        <v>103</v>
      </c>
      <c r="C79" s="198" t="s">
        <v>94</v>
      </c>
      <c r="D79" s="199">
        <v>450</v>
      </c>
      <c r="E79" s="198" t="s">
        <v>84</v>
      </c>
      <c r="F79" s="255">
        <v>1076.95</v>
      </c>
      <c r="G79" s="200">
        <f t="shared" si="2"/>
        <v>484627.5</v>
      </c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</row>
    <row r="80" spans="1:226" s="142" customFormat="1" ht="12.75" customHeight="1" x14ac:dyDescent="0.25">
      <c r="A80" s="140"/>
      <c r="B80" s="197" t="s">
        <v>104</v>
      </c>
      <c r="C80" s="198" t="s">
        <v>94</v>
      </c>
      <c r="D80" s="199">
        <v>100</v>
      </c>
      <c r="E80" s="198" t="s">
        <v>84</v>
      </c>
      <c r="F80" s="255">
        <v>871.07999999999993</v>
      </c>
      <c r="G80" s="200">
        <f t="shared" si="2"/>
        <v>87108</v>
      </c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</row>
    <row r="81" spans="1:226" s="142" customFormat="1" ht="12.75" customHeight="1" x14ac:dyDescent="0.25">
      <c r="A81" s="140"/>
      <c r="B81" s="197" t="s">
        <v>106</v>
      </c>
      <c r="C81" s="198" t="s">
        <v>94</v>
      </c>
      <c r="D81" s="199">
        <v>100</v>
      </c>
      <c r="E81" s="198" t="s">
        <v>84</v>
      </c>
      <c r="F81" s="255">
        <v>2330.02</v>
      </c>
      <c r="G81" s="200">
        <f t="shared" si="2"/>
        <v>233002</v>
      </c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</row>
    <row r="82" spans="1:226" s="142" customFormat="1" ht="12.75" customHeight="1" x14ac:dyDescent="0.25">
      <c r="A82" s="140"/>
      <c r="B82" s="197" t="s">
        <v>107</v>
      </c>
      <c r="C82" s="198" t="s">
        <v>94</v>
      </c>
      <c r="D82" s="199">
        <v>200</v>
      </c>
      <c r="E82" s="198" t="s">
        <v>84</v>
      </c>
      <c r="F82" s="255">
        <v>2272.9</v>
      </c>
      <c r="G82" s="200">
        <f t="shared" si="2"/>
        <v>454580</v>
      </c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</row>
    <row r="83" spans="1:226" ht="12.75" customHeight="1" x14ac:dyDescent="0.25">
      <c r="A83" s="56"/>
      <c r="B83" s="197" t="s">
        <v>108</v>
      </c>
      <c r="C83" s="198" t="s">
        <v>94</v>
      </c>
      <c r="D83" s="199">
        <v>25</v>
      </c>
      <c r="E83" s="198" t="s">
        <v>84</v>
      </c>
      <c r="F83" s="255">
        <v>749.69999999999993</v>
      </c>
      <c r="G83" s="200">
        <f t="shared" si="2"/>
        <v>18742.5</v>
      </c>
    </row>
    <row r="84" spans="1:226" ht="12" customHeight="1" x14ac:dyDescent="0.25">
      <c r="A84" s="56"/>
      <c r="B84" s="197" t="s">
        <v>109</v>
      </c>
      <c r="C84" s="198" t="s">
        <v>94</v>
      </c>
      <c r="D84" s="199">
        <v>25</v>
      </c>
      <c r="E84" s="198" t="s">
        <v>110</v>
      </c>
      <c r="F84" s="255">
        <v>2249.1</v>
      </c>
      <c r="G84" s="200">
        <f t="shared" si="2"/>
        <v>56227.5</v>
      </c>
    </row>
    <row r="85" spans="1:226" ht="12.75" customHeight="1" x14ac:dyDescent="0.25">
      <c r="A85" s="56"/>
      <c r="B85" s="143" t="s">
        <v>149</v>
      </c>
      <c r="C85" s="198"/>
      <c r="D85" s="199"/>
      <c r="E85" s="198"/>
      <c r="F85" s="255"/>
      <c r="G85" s="200"/>
    </row>
    <row r="86" spans="1:226" ht="12.75" customHeight="1" x14ac:dyDescent="0.25">
      <c r="A86" s="56"/>
      <c r="B86" s="240" t="s">
        <v>129</v>
      </c>
      <c r="C86" s="198"/>
      <c r="D86" s="199"/>
      <c r="E86" s="198"/>
      <c r="F86" s="255"/>
      <c r="G86" s="200"/>
    </row>
    <row r="87" spans="1:226" ht="12.75" customHeight="1" x14ac:dyDescent="0.25">
      <c r="A87" s="56"/>
      <c r="B87" s="241" t="s">
        <v>112</v>
      </c>
      <c r="C87" s="230" t="s">
        <v>94</v>
      </c>
      <c r="D87" s="252">
        <v>0.5</v>
      </c>
      <c r="E87" s="230" t="s">
        <v>84</v>
      </c>
      <c r="F87" s="253">
        <v>155341.41</v>
      </c>
      <c r="G87" s="242">
        <f>D87*F87</f>
        <v>77670.705000000002</v>
      </c>
      <c r="HQ87"/>
      <c r="HR87"/>
    </row>
    <row r="88" spans="1:226" ht="12.75" customHeight="1" x14ac:dyDescent="0.25">
      <c r="A88" s="56"/>
      <c r="B88" s="241" t="s">
        <v>113</v>
      </c>
      <c r="C88" s="230" t="s">
        <v>94</v>
      </c>
      <c r="D88" s="252">
        <v>0.5</v>
      </c>
      <c r="E88" s="230" t="s">
        <v>84</v>
      </c>
      <c r="F88" s="253">
        <v>156913.4</v>
      </c>
      <c r="G88" s="242">
        <f t="shared" si="2"/>
        <v>78456.7</v>
      </c>
    </row>
    <row r="89" spans="1:226" ht="12.75" customHeight="1" x14ac:dyDescent="0.25">
      <c r="A89" s="56"/>
      <c r="B89" s="241" t="s">
        <v>114</v>
      </c>
      <c r="C89" s="230" t="s">
        <v>94</v>
      </c>
      <c r="D89" s="252">
        <v>0.25</v>
      </c>
      <c r="E89" s="230" t="s">
        <v>84</v>
      </c>
      <c r="F89" s="253">
        <v>225146.81</v>
      </c>
      <c r="G89" s="242">
        <f t="shared" si="2"/>
        <v>56286.702499999999</v>
      </c>
    </row>
    <row r="90" spans="1:226" ht="12.75" customHeight="1" x14ac:dyDescent="0.25">
      <c r="A90" s="56"/>
      <c r="B90" s="241" t="s">
        <v>115</v>
      </c>
      <c r="C90" s="230" t="s">
        <v>94</v>
      </c>
      <c r="D90" s="252">
        <v>2</v>
      </c>
      <c r="E90" s="230" t="s">
        <v>84</v>
      </c>
      <c r="F90" s="253">
        <f>13000*5</f>
        <v>65000</v>
      </c>
      <c r="G90" s="242">
        <f t="shared" si="2"/>
        <v>130000</v>
      </c>
    </row>
    <row r="91" spans="1:226" ht="12.75" customHeight="1" x14ac:dyDescent="0.25">
      <c r="A91" s="56"/>
      <c r="B91" s="241" t="s">
        <v>153</v>
      </c>
      <c r="C91" s="230" t="s">
        <v>172</v>
      </c>
      <c r="D91" s="252">
        <v>1</v>
      </c>
      <c r="E91" s="230" t="s">
        <v>84</v>
      </c>
      <c r="F91" s="253">
        <v>5500</v>
      </c>
      <c r="G91" s="242">
        <f>D91*F91</f>
        <v>5500</v>
      </c>
    </row>
    <row r="92" spans="1:226" ht="12.75" customHeight="1" x14ac:dyDescent="0.25">
      <c r="A92" s="56"/>
      <c r="B92" s="241" t="s">
        <v>116</v>
      </c>
      <c r="C92" s="230" t="s">
        <v>60</v>
      </c>
      <c r="D92" s="252">
        <v>1</v>
      </c>
      <c r="E92" s="230" t="s">
        <v>84</v>
      </c>
      <c r="F92" s="253">
        <v>58191</v>
      </c>
      <c r="G92" s="242">
        <f t="shared" si="2"/>
        <v>58191</v>
      </c>
    </row>
    <row r="93" spans="1:226" ht="12.75" customHeight="1" x14ac:dyDescent="0.25">
      <c r="A93" s="56"/>
      <c r="B93" s="241" t="s">
        <v>193</v>
      </c>
      <c r="C93" s="230" t="s">
        <v>138</v>
      </c>
      <c r="D93" s="252">
        <v>1</v>
      </c>
      <c r="E93" s="230" t="s">
        <v>84</v>
      </c>
      <c r="F93" s="253">
        <f>229924*1.19</f>
        <v>273609.56</v>
      </c>
      <c r="G93" s="242">
        <f t="shared" si="2"/>
        <v>273609.56</v>
      </c>
    </row>
    <row r="94" spans="1:226" ht="12.75" customHeight="1" x14ac:dyDescent="0.25">
      <c r="A94" s="56"/>
      <c r="B94" s="241" t="s">
        <v>189</v>
      </c>
      <c r="C94" s="230" t="s">
        <v>138</v>
      </c>
      <c r="D94" s="252">
        <v>1</v>
      </c>
      <c r="E94" s="230" t="s">
        <v>84</v>
      </c>
      <c r="F94" s="253">
        <v>340000</v>
      </c>
      <c r="G94" s="242">
        <f>F94*D94</f>
        <v>340000</v>
      </c>
    </row>
    <row r="95" spans="1:226" ht="12.75" customHeight="1" x14ac:dyDescent="0.25">
      <c r="A95" s="56"/>
      <c r="B95" s="241" t="s">
        <v>130</v>
      </c>
      <c r="C95" s="230"/>
      <c r="D95" s="252"/>
      <c r="E95" s="230"/>
      <c r="F95" s="253"/>
      <c r="G95" s="242"/>
    </row>
    <row r="96" spans="1:226" ht="12.75" customHeight="1" x14ac:dyDescent="0.25">
      <c r="A96" s="56"/>
      <c r="B96" s="241" t="s">
        <v>117</v>
      </c>
      <c r="C96" s="230" t="s">
        <v>94</v>
      </c>
      <c r="D96" s="252">
        <v>0.5</v>
      </c>
      <c r="E96" s="230" t="s">
        <v>73</v>
      </c>
      <c r="F96" s="253">
        <v>66555.509999999995</v>
      </c>
      <c r="G96" s="242">
        <f t="shared" si="2"/>
        <v>33277.754999999997</v>
      </c>
    </row>
    <row r="97" spans="1:7" ht="12.75" customHeight="1" x14ac:dyDescent="0.25">
      <c r="A97" s="56"/>
      <c r="B97" s="241" t="s">
        <v>120</v>
      </c>
      <c r="C97" s="230" t="s">
        <v>94</v>
      </c>
      <c r="D97" s="252">
        <v>1</v>
      </c>
      <c r="E97" s="230" t="s">
        <v>121</v>
      </c>
      <c r="F97" s="253">
        <v>120184.04999999999</v>
      </c>
      <c r="G97" s="242">
        <f t="shared" si="2"/>
        <v>120184.04999999999</v>
      </c>
    </row>
    <row r="98" spans="1:7" ht="12.75" customHeight="1" x14ac:dyDescent="0.25">
      <c r="A98" s="56"/>
      <c r="B98" s="241" t="s">
        <v>123</v>
      </c>
      <c r="C98" s="230" t="s">
        <v>94</v>
      </c>
      <c r="D98" s="252">
        <v>1</v>
      </c>
      <c r="E98" s="230" t="s">
        <v>119</v>
      </c>
      <c r="F98" s="253">
        <v>221285.25999999998</v>
      </c>
      <c r="G98" s="242">
        <f t="shared" si="2"/>
        <v>221285.25999999998</v>
      </c>
    </row>
    <row r="99" spans="1:7" ht="12.75" customHeight="1" x14ac:dyDescent="0.25">
      <c r="A99" s="56"/>
      <c r="B99" s="241" t="s">
        <v>124</v>
      </c>
      <c r="C99" s="230" t="s">
        <v>94</v>
      </c>
      <c r="D99" s="252">
        <v>1</v>
      </c>
      <c r="E99" s="230" t="s">
        <v>125</v>
      </c>
      <c r="F99" s="253">
        <v>60635</v>
      </c>
      <c r="G99" s="242">
        <f t="shared" si="2"/>
        <v>60635</v>
      </c>
    </row>
    <row r="100" spans="1:7" ht="12.75" customHeight="1" x14ac:dyDescent="0.25">
      <c r="A100" s="56"/>
      <c r="B100" s="254" t="s">
        <v>154</v>
      </c>
      <c r="C100" s="230"/>
      <c r="D100" s="252"/>
      <c r="E100" s="230"/>
      <c r="F100" s="253"/>
      <c r="G100" s="242"/>
    </row>
    <row r="101" spans="1:7" ht="12.75" customHeight="1" x14ac:dyDescent="0.25">
      <c r="A101" s="56"/>
      <c r="B101" s="241" t="s">
        <v>170</v>
      </c>
      <c r="C101" s="230" t="s">
        <v>160</v>
      </c>
      <c r="D101" s="252">
        <v>6</v>
      </c>
      <c r="E101" s="161" t="s">
        <v>134</v>
      </c>
      <c r="F101" s="253">
        <v>49016.1</v>
      </c>
      <c r="G101" s="242">
        <f t="shared" si="2"/>
        <v>294096.59999999998</v>
      </c>
    </row>
    <row r="102" spans="1:7" ht="12.75" customHeight="1" x14ac:dyDescent="0.25">
      <c r="A102" s="56"/>
      <c r="B102" s="239" t="s">
        <v>155</v>
      </c>
      <c r="C102" s="198"/>
      <c r="D102" s="199"/>
      <c r="E102" s="198"/>
      <c r="F102" s="255"/>
      <c r="G102" s="200">
        <f t="shared" si="2"/>
        <v>0</v>
      </c>
    </row>
    <row r="103" spans="1:7" ht="12.75" customHeight="1" x14ac:dyDescent="0.25">
      <c r="A103" s="56"/>
      <c r="B103" s="197" t="s">
        <v>156</v>
      </c>
      <c r="C103" s="198" t="s">
        <v>158</v>
      </c>
      <c r="D103" s="199">
        <v>20</v>
      </c>
      <c r="E103" s="161" t="s">
        <v>134</v>
      </c>
      <c r="F103" s="255">
        <v>6377.8049999999994</v>
      </c>
      <c r="G103" s="200">
        <f t="shared" si="2"/>
        <v>127556.09999999999</v>
      </c>
    </row>
    <row r="104" spans="1:7" ht="12.75" customHeight="1" x14ac:dyDescent="0.25">
      <c r="A104" s="56"/>
      <c r="B104" s="138" t="s">
        <v>188</v>
      </c>
      <c r="C104" s="198" t="s">
        <v>158</v>
      </c>
      <c r="D104" s="146">
        <f>2/2</f>
        <v>1</v>
      </c>
      <c r="E104" s="161" t="s">
        <v>134</v>
      </c>
      <c r="F104" s="227">
        <v>21211.75</v>
      </c>
      <c r="G104" s="229">
        <f>F104*D104</f>
        <v>21211.75</v>
      </c>
    </row>
    <row r="105" spans="1:7" ht="12.75" customHeight="1" x14ac:dyDescent="0.25">
      <c r="A105" s="56"/>
      <c r="B105" s="256" t="s">
        <v>135</v>
      </c>
      <c r="C105" s="257" t="s">
        <v>157</v>
      </c>
      <c r="D105" s="258">
        <v>1</v>
      </c>
      <c r="E105" s="259" t="s">
        <v>134</v>
      </c>
      <c r="F105" s="260">
        <v>60511.5</v>
      </c>
      <c r="G105" s="229">
        <f>F105*D105</f>
        <v>60511.5</v>
      </c>
    </row>
    <row r="106" spans="1:7" ht="12.75" customHeight="1" x14ac:dyDescent="0.25">
      <c r="A106" s="56"/>
      <c r="B106" s="231" t="s">
        <v>95</v>
      </c>
      <c r="C106" s="183" t="s">
        <v>60</v>
      </c>
      <c r="D106" s="232">
        <v>40.510127531882972</v>
      </c>
      <c r="E106" s="183" t="s">
        <v>134</v>
      </c>
      <c r="F106" s="225">
        <f>4202*1.19</f>
        <v>5000.38</v>
      </c>
      <c r="G106" s="185">
        <f t="shared" ref="G106" si="3">D106*F106</f>
        <v>202566.03150787699</v>
      </c>
    </row>
    <row r="107" spans="1:7" ht="12.75" customHeight="1" x14ac:dyDescent="0.25">
      <c r="A107" s="56"/>
      <c r="B107" s="239" t="s">
        <v>190</v>
      </c>
      <c r="C107" s="237"/>
      <c r="D107" s="237"/>
      <c r="E107" s="237"/>
      <c r="F107" s="288"/>
      <c r="G107" s="261"/>
    </row>
    <row r="108" spans="1:7" ht="12.75" customHeight="1" x14ac:dyDescent="0.25">
      <c r="A108" s="56"/>
      <c r="B108" s="197" t="s">
        <v>191</v>
      </c>
      <c r="C108" s="198" t="s">
        <v>138</v>
      </c>
      <c r="D108" s="199">
        <v>100</v>
      </c>
      <c r="E108" s="262" t="s">
        <v>134</v>
      </c>
      <c r="F108" s="289">
        <f>2500*1.19</f>
        <v>2975</v>
      </c>
      <c r="G108" s="229">
        <f>F108*D108</f>
        <v>297500</v>
      </c>
    </row>
    <row r="109" spans="1:7" ht="12.75" customHeight="1" x14ac:dyDescent="0.25">
      <c r="A109" s="56"/>
      <c r="B109" s="241" t="s">
        <v>187</v>
      </c>
      <c r="C109" s="230" t="s">
        <v>138</v>
      </c>
      <c r="D109" s="252">
        <v>1</v>
      </c>
      <c r="E109" s="230" t="s">
        <v>84</v>
      </c>
      <c r="F109" s="253">
        <v>89846.19</v>
      </c>
      <c r="G109" s="242">
        <f>D109*F109</f>
        <v>89846.19</v>
      </c>
    </row>
    <row r="110" spans="1:7" ht="12.75" customHeight="1" x14ac:dyDescent="0.25">
      <c r="A110" s="56"/>
      <c r="B110" s="241" t="s">
        <v>192</v>
      </c>
      <c r="C110" s="230" t="s">
        <v>138</v>
      </c>
      <c r="D110" s="252">
        <v>10</v>
      </c>
      <c r="E110" s="230" t="s">
        <v>84</v>
      </c>
      <c r="F110" s="289">
        <f>8000*1.19</f>
        <v>9520</v>
      </c>
      <c r="G110" s="229">
        <f>F110*D110</f>
        <v>95200</v>
      </c>
    </row>
    <row r="111" spans="1:7" ht="12.75" customHeight="1" x14ac:dyDescent="0.25">
      <c r="A111" s="56"/>
      <c r="B111" s="241" t="s">
        <v>194</v>
      </c>
      <c r="C111" s="230" t="s">
        <v>60</v>
      </c>
      <c r="D111" s="252">
        <v>1</v>
      </c>
      <c r="E111" s="230" t="s">
        <v>84</v>
      </c>
      <c r="F111" s="289">
        <f>51840*1.19</f>
        <v>61689.599999999999</v>
      </c>
      <c r="G111" s="229">
        <f>F111*D111</f>
        <v>61689.599999999999</v>
      </c>
    </row>
    <row r="112" spans="1:7" ht="12.75" customHeight="1" x14ac:dyDescent="0.25">
      <c r="A112" s="56"/>
      <c r="B112" s="241" t="s">
        <v>195</v>
      </c>
      <c r="C112" s="230" t="s">
        <v>60</v>
      </c>
      <c r="D112" s="252">
        <v>1</v>
      </c>
      <c r="E112" s="230" t="s">
        <v>84</v>
      </c>
      <c r="F112" s="289">
        <f>36280*1.19</f>
        <v>43173.2</v>
      </c>
      <c r="G112" s="229">
        <f t="shared" ref="G112:G116" si="4">F112*D112</f>
        <v>43173.2</v>
      </c>
    </row>
    <row r="113" spans="1:7" ht="12.75" customHeight="1" x14ac:dyDescent="0.25">
      <c r="A113" s="56"/>
      <c r="B113" s="241" t="s">
        <v>196</v>
      </c>
      <c r="C113" s="230" t="s">
        <v>60</v>
      </c>
      <c r="D113" s="252">
        <v>1</v>
      </c>
      <c r="E113" s="230" t="s">
        <v>84</v>
      </c>
      <c r="F113" s="289">
        <f>82080*1.19</f>
        <v>97675.199999999997</v>
      </c>
      <c r="G113" s="229">
        <f t="shared" si="4"/>
        <v>97675.199999999997</v>
      </c>
    </row>
    <row r="114" spans="1:7" ht="12.75" customHeight="1" x14ac:dyDescent="0.25">
      <c r="A114" s="56"/>
      <c r="B114" s="241" t="s">
        <v>197</v>
      </c>
      <c r="C114" s="230" t="s">
        <v>60</v>
      </c>
      <c r="D114" s="252">
        <v>1</v>
      </c>
      <c r="E114" s="230" t="s">
        <v>84</v>
      </c>
      <c r="F114" s="289">
        <f>45792*1.19</f>
        <v>54492.479999999996</v>
      </c>
      <c r="G114" s="229">
        <f t="shared" si="4"/>
        <v>54492.479999999996</v>
      </c>
    </row>
    <row r="115" spans="1:7" ht="12.75" customHeight="1" x14ac:dyDescent="0.25">
      <c r="A115" s="56"/>
      <c r="B115" s="241" t="s">
        <v>198</v>
      </c>
      <c r="C115" s="230" t="s">
        <v>60</v>
      </c>
      <c r="D115" s="252">
        <v>1</v>
      </c>
      <c r="E115" s="230" t="s">
        <v>84</v>
      </c>
      <c r="F115" s="289">
        <f>35240*1.19</f>
        <v>41935.599999999999</v>
      </c>
      <c r="G115" s="229">
        <f t="shared" si="4"/>
        <v>41935.599999999999</v>
      </c>
    </row>
    <row r="116" spans="1:7" ht="12.75" customHeight="1" x14ac:dyDescent="0.25">
      <c r="A116" s="56"/>
      <c r="B116" s="241" t="s">
        <v>199</v>
      </c>
      <c r="C116" s="230" t="s">
        <v>172</v>
      </c>
      <c r="D116" s="252">
        <v>5</v>
      </c>
      <c r="E116" s="230" t="s">
        <v>84</v>
      </c>
      <c r="F116" s="289">
        <v>7997</v>
      </c>
      <c r="G116" s="229">
        <f t="shared" si="4"/>
        <v>39985</v>
      </c>
    </row>
    <row r="117" spans="1:7" ht="13.5" customHeight="1" x14ac:dyDescent="0.25">
      <c r="A117" s="56"/>
      <c r="B117" s="116" t="s">
        <v>30</v>
      </c>
      <c r="C117" s="117"/>
      <c r="D117" s="117"/>
      <c r="E117" s="117"/>
      <c r="F117" s="290"/>
      <c r="G117" s="125">
        <f>SUM(G58:G116)</f>
        <v>28651666.417341214</v>
      </c>
    </row>
    <row r="118" spans="1:7" ht="12" customHeight="1" x14ac:dyDescent="0.25">
      <c r="A118" s="2"/>
      <c r="B118" s="111"/>
      <c r="C118" s="112"/>
      <c r="D118" s="112"/>
      <c r="E118" s="113"/>
      <c r="F118" s="114"/>
      <c r="G118" s="115"/>
    </row>
    <row r="119" spans="1:7" ht="12" customHeight="1" x14ac:dyDescent="0.25">
      <c r="A119" s="5"/>
      <c r="B119" s="29" t="s">
        <v>31</v>
      </c>
      <c r="C119" s="30"/>
      <c r="D119" s="31"/>
      <c r="E119" s="31"/>
      <c r="F119" s="32"/>
      <c r="G119" s="101"/>
    </row>
    <row r="120" spans="1:7" ht="24" customHeight="1" x14ac:dyDescent="0.25">
      <c r="A120" s="5"/>
      <c r="B120" s="110" t="s">
        <v>32</v>
      </c>
      <c r="C120" s="93" t="s">
        <v>28</v>
      </c>
      <c r="D120" s="93" t="s">
        <v>29</v>
      </c>
      <c r="E120" s="110" t="s">
        <v>17</v>
      </c>
      <c r="F120" s="93" t="s">
        <v>18</v>
      </c>
      <c r="G120" s="228" t="s">
        <v>19</v>
      </c>
    </row>
    <row r="121" spans="1:7" ht="16.5" customHeight="1" x14ac:dyDescent="0.25">
      <c r="A121" s="56"/>
      <c r="B121" s="134" t="s">
        <v>211</v>
      </c>
      <c r="C121" s="134" t="s">
        <v>132</v>
      </c>
      <c r="D121" s="134">
        <v>6</v>
      </c>
      <c r="E121" s="134" t="s">
        <v>133</v>
      </c>
      <c r="F121" s="135">
        <v>200000</v>
      </c>
      <c r="G121" s="247">
        <f>F121*D121</f>
        <v>1200000</v>
      </c>
    </row>
    <row r="122" spans="1:7" ht="13.5" customHeight="1" x14ac:dyDescent="0.25">
      <c r="A122" s="5"/>
      <c r="B122" s="147" t="s">
        <v>33</v>
      </c>
      <c r="C122" s="47"/>
      <c r="D122" s="47"/>
      <c r="E122" s="109"/>
      <c r="F122" s="48"/>
      <c r="G122" s="126">
        <f>SUM(G121)</f>
        <v>1200000</v>
      </c>
    </row>
    <row r="123" spans="1:7" ht="12" customHeight="1" x14ac:dyDescent="0.25">
      <c r="A123" s="2"/>
      <c r="B123" s="59"/>
      <c r="C123" s="59"/>
      <c r="D123" s="59"/>
      <c r="E123" s="59"/>
      <c r="F123" s="60"/>
      <c r="G123" s="104"/>
    </row>
    <row r="124" spans="1:7" ht="12" customHeight="1" x14ac:dyDescent="0.25">
      <c r="A124" s="56"/>
      <c r="B124" s="61" t="s">
        <v>34</v>
      </c>
      <c r="C124" s="62"/>
      <c r="D124" s="62"/>
      <c r="E124" s="62"/>
      <c r="F124" s="62"/>
      <c r="G124" s="63">
        <f>G43+G48+G54+G117+G122</f>
        <v>51331921.417341217</v>
      </c>
    </row>
    <row r="125" spans="1:7" ht="12" customHeight="1" x14ac:dyDescent="0.25">
      <c r="A125" s="56"/>
      <c r="B125" s="64" t="s">
        <v>35</v>
      </c>
      <c r="C125" s="50"/>
      <c r="D125" s="50"/>
      <c r="E125" s="50"/>
      <c r="F125" s="50"/>
      <c r="G125" s="65">
        <f>G124*0.05</f>
        <v>2566596.0708670611</v>
      </c>
    </row>
    <row r="126" spans="1:7" ht="12" customHeight="1" x14ac:dyDescent="0.25">
      <c r="A126" s="56"/>
      <c r="B126" s="66" t="s">
        <v>36</v>
      </c>
      <c r="C126" s="49"/>
      <c r="D126" s="49"/>
      <c r="E126" s="49"/>
      <c r="F126" s="49"/>
      <c r="G126" s="67">
        <f>G125+G124</f>
        <v>53898517.488208279</v>
      </c>
    </row>
    <row r="127" spans="1:7" ht="12" customHeight="1" x14ac:dyDescent="0.25">
      <c r="A127" s="56"/>
      <c r="B127" s="64" t="s">
        <v>37</v>
      </c>
      <c r="C127" s="50"/>
      <c r="D127" s="50"/>
      <c r="E127" s="50"/>
      <c r="F127" s="50"/>
      <c r="G127" s="65">
        <f>G12</f>
        <v>68510000</v>
      </c>
    </row>
    <row r="128" spans="1:7" ht="12" customHeight="1" x14ac:dyDescent="0.25">
      <c r="A128" s="56"/>
      <c r="B128" s="68" t="s">
        <v>38</v>
      </c>
      <c r="C128" s="69"/>
      <c r="D128" s="69"/>
      <c r="E128" s="69"/>
      <c r="F128" s="69"/>
      <c r="G128" s="63">
        <f>G127-G126</f>
        <v>14611482.511791721</v>
      </c>
    </row>
    <row r="129" spans="1:7" ht="12" customHeight="1" x14ac:dyDescent="0.25">
      <c r="A129" s="56"/>
      <c r="B129" s="57" t="s">
        <v>39</v>
      </c>
      <c r="C129" s="58"/>
      <c r="D129" s="58"/>
      <c r="E129" s="58"/>
      <c r="F129" s="58"/>
      <c r="G129" s="105"/>
    </row>
    <row r="130" spans="1:7" ht="12.75" customHeight="1" thickBot="1" x14ac:dyDescent="0.3">
      <c r="A130" s="56"/>
      <c r="B130" s="70"/>
      <c r="C130" s="58"/>
      <c r="D130" s="58"/>
      <c r="E130" s="58"/>
      <c r="F130" s="58"/>
      <c r="G130" s="105"/>
    </row>
    <row r="131" spans="1:7" ht="12" customHeight="1" x14ac:dyDescent="0.25">
      <c r="A131" s="56"/>
      <c r="B131" s="79" t="s">
        <v>40</v>
      </c>
      <c r="C131" s="80"/>
      <c r="D131" s="80"/>
      <c r="E131" s="80"/>
      <c r="F131" s="81"/>
      <c r="G131" s="105"/>
    </row>
    <row r="132" spans="1:7" ht="12" customHeight="1" x14ac:dyDescent="0.25">
      <c r="A132" s="56"/>
      <c r="B132" s="82" t="s">
        <v>41</v>
      </c>
      <c r="C132" s="55"/>
      <c r="D132" s="55"/>
      <c r="E132" s="55"/>
      <c r="F132" s="83"/>
      <c r="G132" s="105"/>
    </row>
    <row r="133" spans="1:7" ht="12" customHeight="1" x14ac:dyDescent="0.25">
      <c r="A133" s="56"/>
      <c r="B133" s="82" t="s">
        <v>42</v>
      </c>
      <c r="C133" s="55"/>
      <c r="D133" s="55"/>
      <c r="E133" s="55"/>
      <c r="F133" s="83"/>
      <c r="G133" s="105"/>
    </row>
    <row r="134" spans="1:7" ht="12" customHeight="1" x14ac:dyDescent="0.25">
      <c r="A134" s="56"/>
      <c r="B134" s="82" t="s">
        <v>43</v>
      </c>
      <c r="C134" s="55"/>
      <c r="D134" s="55"/>
      <c r="E134" s="55"/>
      <c r="F134" s="83"/>
      <c r="G134" s="105"/>
    </row>
    <row r="135" spans="1:7" ht="12" customHeight="1" x14ac:dyDescent="0.25">
      <c r="A135" s="56"/>
      <c r="B135" s="82" t="s">
        <v>44</v>
      </c>
      <c r="C135" s="55"/>
      <c r="D135" s="55"/>
      <c r="E135" s="55"/>
      <c r="F135" s="83"/>
      <c r="G135" s="105"/>
    </row>
    <row r="136" spans="1:7" ht="12" customHeight="1" x14ac:dyDescent="0.25">
      <c r="A136" s="56"/>
      <c r="B136" s="82" t="s">
        <v>45</v>
      </c>
      <c r="C136" s="55"/>
      <c r="D136" s="55"/>
      <c r="E136" s="55"/>
      <c r="F136" s="83"/>
      <c r="G136" s="105"/>
    </row>
    <row r="137" spans="1:7" ht="12.75" customHeight="1" thickBot="1" x14ac:dyDescent="0.3">
      <c r="A137" s="56"/>
      <c r="B137" s="84" t="s">
        <v>46</v>
      </c>
      <c r="C137" s="85"/>
      <c r="D137" s="85"/>
      <c r="E137" s="85"/>
      <c r="F137" s="86"/>
      <c r="G137" s="105"/>
    </row>
    <row r="138" spans="1:7" ht="12.75" customHeight="1" thickBot="1" x14ac:dyDescent="0.3">
      <c r="A138" s="56"/>
      <c r="B138" s="77"/>
      <c r="C138" s="55"/>
      <c r="D138" s="55"/>
      <c r="E138" s="55"/>
      <c r="F138" s="55"/>
      <c r="G138" s="105"/>
    </row>
    <row r="139" spans="1:7" ht="15" customHeight="1" thickBot="1" x14ac:dyDescent="0.3">
      <c r="A139" s="56"/>
      <c r="B139" s="362" t="s">
        <v>47</v>
      </c>
      <c r="C139" s="363"/>
      <c r="D139" s="194"/>
      <c r="E139" s="51"/>
      <c r="F139" s="51"/>
      <c r="G139" s="105"/>
    </row>
    <row r="140" spans="1:7" ht="12" customHeight="1" x14ac:dyDescent="0.25">
      <c r="A140" s="56"/>
      <c r="B140" s="72" t="s">
        <v>32</v>
      </c>
      <c r="C140" s="127" t="s">
        <v>48</v>
      </c>
      <c r="D140" s="128" t="s">
        <v>49</v>
      </c>
      <c r="F140" s="364"/>
      <c r="G140" s="364"/>
    </row>
    <row r="141" spans="1:7" ht="12" customHeight="1" x14ac:dyDescent="0.25">
      <c r="A141" s="56"/>
      <c r="B141" s="73" t="s">
        <v>50</v>
      </c>
      <c r="C141" s="52">
        <f>G43</f>
        <v>19215000</v>
      </c>
      <c r="D141" s="195">
        <f>(C141/C147)</f>
        <v>0.35650331206612107</v>
      </c>
      <c r="F141" s="206"/>
      <c r="G141" s="207"/>
    </row>
    <row r="142" spans="1:7" ht="12" customHeight="1" x14ac:dyDescent="0.25">
      <c r="A142" s="56"/>
      <c r="B142" s="73" t="s">
        <v>51</v>
      </c>
      <c r="C142" s="52">
        <f>G48</f>
        <v>0</v>
      </c>
      <c r="D142" s="195">
        <v>0</v>
      </c>
      <c r="F142" s="206"/>
      <c r="G142" s="207"/>
    </row>
    <row r="143" spans="1:7" ht="12" customHeight="1" x14ac:dyDescent="0.25">
      <c r="A143" s="56"/>
      <c r="B143" s="73" t="s">
        <v>52</v>
      </c>
      <c r="C143" s="52">
        <f>G54</f>
        <v>2265255</v>
      </c>
      <c r="D143" s="195">
        <f>(C143/C147)</f>
        <v>4.202815041240391E-2</v>
      </c>
      <c r="F143" s="206"/>
      <c r="G143" s="207"/>
    </row>
    <row r="144" spans="1:7" ht="12" customHeight="1" x14ac:dyDescent="0.25">
      <c r="A144" s="56"/>
      <c r="B144" s="73" t="s">
        <v>27</v>
      </c>
      <c r="C144" s="52">
        <f>G117</f>
        <v>28651666.417341214</v>
      </c>
      <c r="D144" s="195">
        <f>(C144/C147)</f>
        <v>0.5315854266976735</v>
      </c>
      <c r="F144" s="206"/>
      <c r="G144" s="209"/>
    </row>
    <row r="145" spans="1:7" ht="12" customHeight="1" x14ac:dyDescent="0.25">
      <c r="A145" s="56"/>
      <c r="B145" s="73" t="s">
        <v>53</v>
      </c>
      <c r="C145" s="53">
        <f>G122</f>
        <v>1200000</v>
      </c>
      <c r="D145" s="195">
        <f>(C145/C147)</f>
        <v>2.2264063204753853E-2</v>
      </c>
      <c r="F145" s="210"/>
      <c r="G145" s="209"/>
    </row>
    <row r="146" spans="1:7" ht="12" customHeight="1" x14ac:dyDescent="0.25">
      <c r="A146" s="56"/>
      <c r="B146" s="73" t="s">
        <v>54</v>
      </c>
      <c r="C146" s="53">
        <f>G125</f>
        <v>2566596.0708670611</v>
      </c>
      <c r="D146" s="195">
        <f>(C146/C147)</f>
        <v>4.7619047619047623E-2</v>
      </c>
      <c r="F146" s="206"/>
      <c r="G146" s="209"/>
    </row>
    <row r="147" spans="1:7" ht="12.75" customHeight="1" thickBot="1" x14ac:dyDescent="0.3">
      <c r="A147" s="56"/>
      <c r="B147" s="74" t="s">
        <v>55</v>
      </c>
      <c r="C147" s="75">
        <f>SUM(C141:C146)</f>
        <v>53898517.488208279</v>
      </c>
      <c r="D147" s="76">
        <f>SUM(D141:D146)</f>
        <v>1</v>
      </c>
      <c r="F147" s="205"/>
      <c r="G147" s="211"/>
    </row>
    <row r="148" spans="1:7" ht="12" customHeight="1" x14ac:dyDescent="0.25">
      <c r="A148" s="56"/>
      <c r="B148" s="70"/>
      <c r="C148" s="58"/>
      <c r="D148" s="58"/>
      <c r="E148" s="58"/>
      <c r="F148" s="58"/>
      <c r="G148" s="105"/>
    </row>
    <row r="149" spans="1:7" ht="12.75" customHeight="1" thickBot="1" x14ac:dyDescent="0.3">
      <c r="A149" s="56"/>
      <c r="B149" s="71"/>
      <c r="C149" s="58"/>
      <c r="D149" s="58"/>
      <c r="E149" s="58"/>
      <c r="F149" s="58"/>
      <c r="G149" s="105"/>
    </row>
    <row r="150" spans="1:7" ht="12" customHeight="1" thickBot="1" x14ac:dyDescent="0.3">
      <c r="A150" s="56"/>
      <c r="B150" s="359" t="s">
        <v>139</v>
      </c>
      <c r="C150" s="360"/>
      <c r="D150" s="360"/>
      <c r="E150" s="361"/>
      <c r="F150" s="54"/>
      <c r="G150" s="105"/>
    </row>
    <row r="151" spans="1:7" ht="12" customHeight="1" x14ac:dyDescent="0.25">
      <c r="A151" s="56"/>
      <c r="B151" s="88" t="s">
        <v>136</v>
      </c>
      <c r="C151" s="119">
        <v>120000</v>
      </c>
      <c r="D151" s="119">
        <v>130000</v>
      </c>
      <c r="E151" s="119">
        <v>135000</v>
      </c>
      <c r="F151" s="87"/>
      <c r="G151" s="106"/>
    </row>
    <row r="152" spans="1:7" ht="12.75" customHeight="1" thickBot="1" x14ac:dyDescent="0.3">
      <c r="A152" s="56"/>
      <c r="B152" s="74" t="s">
        <v>137</v>
      </c>
      <c r="C152" s="187">
        <f>C147/C151</f>
        <v>449.15431240173564</v>
      </c>
      <c r="D152" s="187">
        <f>C147/$D$151</f>
        <v>414.6039806785252</v>
      </c>
      <c r="E152" s="187">
        <f>C147/$E$151</f>
        <v>399.24827769043168</v>
      </c>
      <c r="F152" s="87"/>
      <c r="G152" s="106"/>
    </row>
    <row r="153" spans="1:7" ht="15.6" customHeight="1" x14ac:dyDescent="0.25">
      <c r="A153" s="56"/>
      <c r="B153" s="78" t="s">
        <v>56</v>
      </c>
      <c r="C153" s="55"/>
      <c r="D153" s="55"/>
      <c r="E153" s="55"/>
      <c r="F153" s="55"/>
      <c r="G153" s="107"/>
    </row>
    <row r="156" spans="1:7" ht="50.1" customHeight="1" x14ac:dyDescent="0.25"/>
    <row r="157" spans="1:7" ht="50.1" customHeight="1" x14ac:dyDescent="0.25"/>
    <row r="158" spans="1:7" ht="50.1" customHeight="1" x14ac:dyDescent="0.25"/>
    <row r="159" spans="1:7" ht="50.1" customHeight="1" x14ac:dyDescent="0.25"/>
    <row r="160" spans="1:7" ht="50.1" customHeight="1" x14ac:dyDescent="0.25"/>
    <row r="161" ht="50.1" customHeight="1" x14ac:dyDescent="0.25"/>
    <row r="162" ht="50.1" customHeight="1" x14ac:dyDescent="0.25"/>
    <row r="163" ht="50.1" customHeight="1" x14ac:dyDescent="0.25"/>
    <row r="164" ht="50.1" customHeight="1" x14ac:dyDescent="0.25"/>
    <row r="165" ht="50.1" customHeight="1" x14ac:dyDescent="0.25"/>
    <row r="166" ht="50.1" customHeight="1" x14ac:dyDescent="0.25"/>
    <row r="167" ht="50.1" customHeight="1" x14ac:dyDescent="0.25"/>
    <row r="168" ht="50.1" customHeight="1" x14ac:dyDescent="0.25"/>
    <row r="169" ht="50.1" customHeight="1" x14ac:dyDescent="0.25"/>
    <row r="170" ht="50.1" customHeight="1" x14ac:dyDescent="0.25"/>
    <row r="171" ht="50.1" customHeight="1" x14ac:dyDescent="0.25"/>
    <row r="172" ht="50.1" customHeight="1" x14ac:dyDescent="0.25"/>
    <row r="173" ht="50.1" customHeight="1" x14ac:dyDescent="0.25"/>
    <row r="174" ht="50.1" customHeight="1" x14ac:dyDescent="0.25"/>
    <row r="175" ht="50.1" customHeight="1" x14ac:dyDescent="0.25"/>
    <row r="176" ht="50.1" customHeight="1" x14ac:dyDescent="0.25"/>
    <row r="177" ht="50.1" customHeight="1" x14ac:dyDescent="0.25"/>
    <row r="178" ht="50.1" customHeight="1" x14ac:dyDescent="0.25"/>
    <row r="179" ht="50.1" customHeight="1" x14ac:dyDescent="0.25"/>
    <row r="180" ht="50.1" customHeight="1" x14ac:dyDescent="0.25"/>
    <row r="181" ht="50.1" customHeight="1" x14ac:dyDescent="0.25"/>
    <row r="182" ht="50.1" customHeight="1" x14ac:dyDescent="0.25"/>
    <row r="183" ht="50.1" customHeight="1" x14ac:dyDescent="0.25"/>
    <row r="184" ht="50.1" customHeight="1" x14ac:dyDescent="0.25"/>
    <row r="185" ht="50.1" customHeight="1" x14ac:dyDescent="0.25"/>
    <row r="186" ht="50.1" customHeight="1" x14ac:dyDescent="0.25"/>
    <row r="187" ht="50.1" customHeight="1" x14ac:dyDescent="0.25"/>
    <row r="188" ht="50.1" customHeight="1" x14ac:dyDescent="0.25"/>
    <row r="189" ht="50.1" customHeight="1" x14ac:dyDescent="0.25"/>
    <row r="190" ht="50.1" customHeight="1" x14ac:dyDescent="0.25"/>
    <row r="191" ht="50.1" customHeight="1" x14ac:dyDescent="0.25"/>
    <row r="192" ht="50.1" customHeight="1" x14ac:dyDescent="0.25"/>
    <row r="193" ht="50.1" customHeight="1" x14ac:dyDescent="0.25"/>
    <row r="194" ht="50.1" customHeight="1" x14ac:dyDescent="0.25"/>
    <row r="195" ht="50.1" customHeight="1" x14ac:dyDescent="0.25"/>
    <row r="196" ht="50.1" customHeight="1" x14ac:dyDescent="0.25"/>
    <row r="197" ht="50.1" customHeight="1" x14ac:dyDescent="0.25"/>
    <row r="198" ht="50.1" customHeight="1" x14ac:dyDescent="0.25"/>
    <row r="199" ht="50.1" customHeight="1" x14ac:dyDescent="0.25"/>
    <row r="200" ht="50.1" customHeight="1" x14ac:dyDescent="0.25"/>
    <row r="201" ht="50.1" customHeight="1" x14ac:dyDescent="0.25"/>
    <row r="202" ht="50.1" customHeight="1" x14ac:dyDescent="0.25"/>
    <row r="203" ht="50.1" customHeight="1" x14ac:dyDescent="0.25"/>
    <row r="204" ht="50.1" customHeight="1" x14ac:dyDescent="0.25"/>
    <row r="205" ht="50.1" customHeight="1" x14ac:dyDescent="0.25"/>
    <row r="206" ht="50.1" customHeight="1" x14ac:dyDescent="0.25"/>
    <row r="207" ht="50.1" customHeight="1" x14ac:dyDescent="0.25"/>
  </sheetData>
  <mergeCells count="10">
    <mergeCell ref="E9:F9"/>
    <mergeCell ref="E14:F14"/>
    <mergeCell ref="E15:F15"/>
    <mergeCell ref="B17:G17"/>
    <mergeCell ref="B150:E150"/>
    <mergeCell ref="B139:C139"/>
    <mergeCell ref="E13:F13"/>
    <mergeCell ref="E11:F11"/>
    <mergeCell ref="E10:F10"/>
    <mergeCell ref="F140:G140"/>
  </mergeCells>
  <phoneticPr fontId="27" type="noConversion"/>
  <pageMargins left="0.25" right="0.25" top="0.14000000000000001" bottom="1.24" header="0.12" footer="1.22"/>
  <pageSetup paperSize="5" scale="94" fitToHeight="0" orientation="portrait" r:id="rId1"/>
  <headerFooter>
    <oddFooter>&amp;C&amp;"Helvetica Neue,Regular"&amp;12&amp;K000000&amp;P</oddFooter>
  </headerFooter>
  <rowBreaks count="3" manualBreakCount="3">
    <brk id="55" min="1" max="6" man="1"/>
    <brk id="117" min="1" max="6" man="1"/>
    <brk id="154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50"/>
  <sheetViews>
    <sheetView showGridLines="0" view="pageBreakPreview" topLeftCell="B53" zoomScale="115" zoomScaleNormal="100" zoomScaleSheetLayoutView="115" workbookViewId="0">
      <selection activeCell="B59" sqref="B5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9.5703125" style="1" customWidth="1"/>
    <col min="6" max="6" width="18.7109375" style="1" customWidth="1"/>
    <col min="7" max="7" width="17.140625" style="108" customWidth="1"/>
    <col min="8" max="8" width="31.85546875" style="190" customWidth="1"/>
    <col min="9" max="9" width="10.85546875" style="190" customWidth="1"/>
    <col min="10" max="234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98"/>
    </row>
    <row r="2" spans="1:9" ht="15" customHeight="1" x14ac:dyDescent="0.25">
      <c r="A2" s="2"/>
      <c r="B2" s="2"/>
      <c r="C2" s="2"/>
      <c r="D2" s="2"/>
      <c r="E2" s="2"/>
      <c r="F2" s="2"/>
      <c r="G2" s="98"/>
    </row>
    <row r="3" spans="1:9" ht="15" customHeight="1" x14ac:dyDescent="0.25">
      <c r="A3" s="2"/>
      <c r="B3" s="2"/>
      <c r="C3" s="2"/>
      <c r="D3" s="2"/>
      <c r="E3" s="2"/>
      <c r="F3" s="2"/>
      <c r="G3" s="98"/>
    </row>
    <row r="4" spans="1:9" ht="15" customHeight="1" x14ac:dyDescent="0.25">
      <c r="A4" s="2"/>
      <c r="B4" s="2"/>
      <c r="C4" s="2"/>
      <c r="D4" s="2"/>
      <c r="E4" s="2"/>
      <c r="F4" s="2"/>
      <c r="G4" s="98"/>
    </row>
    <row r="5" spans="1:9" ht="15" customHeight="1" x14ac:dyDescent="0.25">
      <c r="A5" s="2"/>
      <c r="B5" s="2"/>
      <c r="C5" s="2"/>
      <c r="D5" s="2"/>
      <c r="E5" s="2"/>
      <c r="F5" s="2"/>
      <c r="G5" s="98"/>
    </row>
    <row r="6" spans="1:9" ht="15" customHeight="1" x14ac:dyDescent="0.25">
      <c r="A6" s="2"/>
      <c r="B6" s="2"/>
      <c r="C6" s="2"/>
      <c r="D6" s="2"/>
      <c r="E6" s="2"/>
      <c r="F6" s="2"/>
      <c r="G6" s="98"/>
    </row>
    <row r="7" spans="1:9" ht="15" customHeight="1" x14ac:dyDescent="0.25">
      <c r="A7" s="2"/>
      <c r="B7" s="2"/>
      <c r="C7" s="2"/>
      <c r="D7" s="2"/>
      <c r="E7" s="2"/>
      <c r="F7" s="2"/>
      <c r="G7" s="98"/>
    </row>
    <row r="8" spans="1:9" ht="15" customHeight="1" x14ac:dyDescent="0.25">
      <c r="A8" s="2"/>
      <c r="B8" s="3"/>
      <c r="C8" s="4"/>
      <c r="D8" s="2"/>
      <c r="E8" s="4"/>
      <c r="F8" s="4"/>
      <c r="G8" s="99"/>
    </row>
    <row r="9" spans="1:9" ht="24.75" customHeight="1" x14ac:dyDescent="0.25">
      <c r="A9" s="5"/>
      <c r="B9" s="6" t="s">
        <v>0</v>
      </c>
      <c r="C9" s="204" t="s">
        <v>63</v>
      </c>
      <c r="D9" s="7"/>
      <c r="E9" s="350" t="s">
        <v>65</v>
      </c>
      <c r="F9" s="365"/>
      <c r="G9" s="212">
        <v>125000</v>
      </c>
      <c r="H9" s="196"/>
      <c r="I9" s="196"/>
    </row>
    <row r="10" spans="1:9" ht="18" customHeight="1" x14ac:dyDescent="0.25">
      <c r="A10" s="5"/>
      <c r="B10" s="8" t="s">
        <v>1</v>
      </c>
      <c r="C10" s="144" t="s">
        <v>145</v>
      </c>
      <c r="D10" s="9"/>
      <c r="E10" s="352" t="s">
        <v>2</v>
      </c>
      <c r="F10" s="366"/>
      <c r="G10" s="213" t="s">
        <v>126</v>
      </c>
      <c r="H10" s="196"/>
      <c r="I10" s="196"/>
    </row>
    <row r="11" spans="1:9" ht="18" customHeight="1" x14ac:dyDescent="0.25">
      <c r="A11" s="5"/>
      <c r="B11" s="8" t="s">
        <v>3</v>
      </c>
      <c r="C11" s="144" t="s">
        <v>146</v>
      </c>
      <c r="D11" s="9"/>
      <c r="E11" s="352" t="s">
        <v>159</v>
      </c>
      <c r="F11" s="366"/>
      <c r="G11" s="214">
        <v>500</v>
      </c>
      <c r="H11" s="196"/>
      <c r="I11" s="196"/>
    </row>
    <row r="12" spans="1:9" ht="11.25" customHeight="1" x14ac:dyDescent="0.25">
      <c r="A12" s="5"/>
      <c r="B12" s="8" t="s">
        <v>4</v>
      </c>
      <c r="C12" s="132" t="s">
        <v>64</v>
      </c>
      <c r="D12" s="9"/>
      <c r="E12" s="10" t="s">
        <v>5</v>
      </c>
      <c r="F12" s="11"/>
      <c r="G12" s="215">
        <f>G11*G9</f>
        <v>62500000</v>
      </c>
      <c r="H12" s="196"/>
      <c r="I12" s="196"/>
    </row>
    <row r="13" spans="1:9" ht="11.25" customHeight="1" x14ac:dyDescent="0.25">
      <c r="A13" s="5"/>
      <c r="B13" s="8" t="s">
        <v>6</v>
      </c>
      <c r="C13" s="132" t="s">
        <v>186</v>
      </c>
      <c r="D13" s="9"/>
      <c r="E13" s="352" t="s">
        <v>7</v>
      </c>
      <c r="F13" s="366"/>
      <c r="G13" s="213" t="s">
        <v>127</v>
      </c>
      <c r="H13" s="196"/>
      <c r="I13" s="196"/>
    </row>
    <row r="14" spans="1:9" ht="13.5" customHeight="1" x14ac:dyDescent="0.25">
      <c r="A14" s="5"/>
      <c r="B14" s="8" t="s">
        <v>8</v>
      </c>
      <c r="C14" s="132" t="s">
        <v>62</v>
      </c>
      <c r="D14" s="9"/>
      <c r="E14" s="352" t="s">
        <v>9</v>
      </c>
      <c r="F14" s="366"/>
      <c r="G14" s="213" t="s">
        <v>126</v>
      </c>
      <c r="H14" s="196"/>
      <c r="I14" s="196"/>
    </row>
    <row r="15" spans="1:9" ht="16.5" customHeight="1" x14ac:dyDescent="0.25">
      <c r="A15" s="5"/>
      <c r="B15" s="8" t="s">
        <v>10</v>
      </c>
      <c r="C15" s="129">
        <v>44713</v>
      </c>
      <c r="D15" s="9"/>
      <c r="E15" s="354" t="s">
        <v>11</v>
      </c>
      <c r="F15" s="367"/>
      <c r="G15" s="216" t="s">
        <v>128</v>
      </c>
      <c r="H15" s="196"/>
      <c r="I15" s="196"/>
    </row>
    <row r="16" spans="1:9" ht="12" customHeight="1" x14ac:dyDescent="0.25">
      <c r="A16" s="2"/>
      <c r="B16" s="12"/>
      <c r="C16" s="13"/>
      <c r="D16" s="14"/>
      <c r="E16" s="15"/>
      <c r="F16" s="15"/>
      <c r="G16" s="217"/>
      <c r="H16" s="196"/>
      <c r="I16" s="196"/>
    </row>
    <row r="17" spans="1:9" ht="12" customHeight="1" x14ac:dyDescent="0.25">
      <c r="A17" s="16"/>
      <c r="B17" s="356" t="s">
        <v>12</v>
      </c>
      <c r="C17" s="357"/>
      <c r="D17" s="357"/>
      <c r="E17" s="357"/>
      <c r="F17" s="357"/>
      <c r="G17" s="358"/>
      <c r="H17" s="196"/>
      <c r="I17" s="196"/>
    </row>
    <row r="18" spans="1:9" ht="12" customHeight="1" x14ac:dyDescent="0.25">
      <c r="A18" s="2"/>
      <c r="B18" s="17"/>
      <c r="C18" s="18"/>
      <c r="D18" s="18"/>
      <c r="E18" s="18"/>
      <c r="F18" s="19"/>
      <c r="G18" s="218"/>
      <c r="H18" s="196"/>
      <c r="I18" s="196"/>
    </row>
    <row r="19" spans="1:9" ht="12" customHeight="1" x14ac:dyDescent="0.25">
      <c r="A19" s="5"/>
      <c r="B19" s="20" t="s">
        <v>13</v>
      </c>
      <c r="C19" s="21"/>
      <c r="D19" s="22"/>
      <c r="E19" s="22"/>
      <c r="F19" s="22"/>
      <c r="G19" s="219"/>
      <c r="H19" s="196"/>
      <c r="I19" s="196"/>
    </row>
    <row r="20" spans="1:9" ht="24" customHeight="1" x14ac:dyDescent="0.25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20" t="s">
        <v>19</v>
      </c>
      <c r="H20" s="196"/>
      <c r="I20" s="196"/>
    </row>
    <row r="21" spans="1:9" ht="27" customHeight="1" x14ac:dyDescent="0.25">
      <c r="A21" s="16"/>
      <c r="B21" s="133" t="s">
        <v>175</v>
      </c>
      <c r="C21" s="24"/>
      <c r="D21" s="91"/>
      <c r="E21" s="24"/>
      <c r="F21" s="120"/>
      <c r="G21" s="221"/>
      <c r="H21" s="196"/>
      <c r="I21" s="196"/>
    </row>
    <row r="22" spans="1:9" ht="25.5" customHeight="1" x14ac:dyDescent="0.25">
      <c r="A22" s="16"/>
      <c r="B22" s="171" t="s">
        <v>174</v>
      </c>
      <c r="C22" s="171" t="s">
        <v>20</v>
      </c>
      <c r="D22" s="172">
        <v>18</v>
      </c>
      <c r="E22" s="171" t="s">
        <v>66</v>
      </c>
      <c r="F22" s="173">
        <v>75000</v>
      </c>
      <c r="G22" s="222">
        <f>D22*F22/3</f>
        <v>450000</v>
      </c>
      <c r="H22" s="196"/>
      <c r="I22" s="196"/>
    </row>
    <row r="23" spans="1:9" ht="12.75" customHeight="1" x14ac:dyDescent="0.25">
      <c r="A23" s="16"/>
      <c r="B23" s="174" t="s">
        <v>181</v>
      </c>
      <c r="C23" s="175"/>
      <c r="D23" s="176"/>
      <c r="E23" s="175"/>
      <c r="F23" s="177"/>
      <c r="G23" s="191"/>
      <c r="H23" s="196"/>
      <c r="I23" s="196"/>
    </row>
    <row r="24" spans="1:9" ht="12.75" customHeight="1" x14ac:dyDescent="0.25">
      <c r="A24" s="16"/>
      <c r="B24" s="178" t="s">
        <v>68</v>
      </c>
      <c r="C24" s="175" t="s">
        <v>20</v>
      </c>
      <c r="D24" s="176">
        <v>12</v>
      </c>
      <c r="E24" s="175" t="s">
        <v>69</v>
      </c>
      <c r="F24" s="177">
        <v>27000</v>
      </c>
      <c r="G24" s="191">
        <f t="shared" ref="G24:G42" si="0">D24*F24</f>
        <v>324000</v>
      </c>
      <c r="H24" s="223"/>
      <c r="I24" s="196"/>
    </row>
    <row r="25" spans="1:9" ht="12.75" customHeight="1" x14ac:dyDescent="0.25">
      <c r="A25" s="16"/>
      <c r="B25" s="178" t="s">
        <v>70</v>
      </c>
      <c r="C25" s="189" t="s">
        <v>20</v>
      </c>
      <c r="D25" s="176">
        <v>3</v>
      </c>
      <c r="E25" s="175" t="s">
        <v>69</v>
      </c>
      <c r="F25" s="177">
        <v>27000</v>
      </c>
      <c r="G25" s="191">
        <f t="shared" si="0"/>
        <v>81000</v>
      </c>
      <c r="H25" s="223"/>
      <c r="I25" s="196"/>
    </row>
    <row r="26" spans="1:9" ht="12.75" customHeight="1" x14ac:dyDescent="0.25">
      <c r="A26" s="16"/>
      <c r="B26" s="178" t="s">
        <v>71</v>
      </c>
      <c r="C26" s="175" t="s">
        <v>20</v>
      </c>
      <c r="D26" s="176">
        <v>0.5</v>
      </c>
      <c r="E26" s="175" t="s">
        <v>69</v>
      </c>
      <c r="F26" s="177">
        <v>27000</v>
      </c>
      <c r="G26" s="191">
        <f t="shared" si="0"/>
        <v>13500</v>
      </c>
      <c r="H26" s="223"/>
      <c r="I26" s="196"/>
    </row>
    <row r="27" spans="1:9" ht="12.75" customHeight="1" x14ac:dyDescent="0.25">
      <c r="A27" s="16"/>
      <c r="B27" s="178" t="s">
        <v>72</v>
      </c>
      <c r="C27" s="175" t="s">
        <v>20</v>
      </c>
      <c r="D27" s="176">
        <v>11</v>
      </c>
      <c r="E27" s="175" t="s">
        <v>73</v>
      </c>
      <c r="F27" s="177">
        <v>27000</v>
      </c>
      <c r="G27" s="191">
        <f t="shared" si="0"/>
        <v>297000</v>
      </c>
      <c r="H27" s="196"/>
      <c r="I27" s="196"/>
    </row>
    <row r="28" spans="1:9" ht="12.75" customHeight="1" x14ac:dyDescent="0.25">
      <c r="A28" s="16"/>
      <c r="B28" s="178" t="s">
        <v>74</v>
      </c>
      <c r="C28" s="175" t="s">
        <v>20</v>
      </c>
      <c r="D28" s="176">
        <v>3</v>
      </c>
      <c r="E28" s="175" t="s">
        <v>75</v>
      </c>
      <c r="F28" s="177">
        <v>27000</v>
      </c>
      <c r="G28" s="191">
        <f t="shared" si="0"/>
        <v>81000</v>
      </c>
      <c r="H28" s="196"/>
      <c r="I28" s="196"/>
    </row>
    <row r="29" spans="1:9" ht="12.75" customHeight="1" x14ac:dyDescent="0.25">
      <c r="A29" s="16"/>
      <c r="B29" s="178" t="s">
        <v>76</v>
      </c>
      <c r="C29" s="175" t="s">
        <v>20</v>
      </c>
      <c r="D29" s="176">
        <v>10</v>
      </c>
      <c r="E29" s="175" t="s">
        <v>77</v>
      </c>
      <c r="F29" s="177">
        <v>27000</v>
      </c>
      <c r="G29" s="191">
        <f t="shared" si="0"/>
        <v>270000</v>
      </c>
      <c r="H29" s="196"/>
      <c r="I29" s="196"/>
    </row>
    <row r="30" spans="1:9" ht="12.75" customHeight="1" x14ac:dyDescent="0.25">
      <c r="A30" s="16"/>
      <c r="B30" s="178" t="s">
        <v>78</v>
      </c>
      <c r="C30" s="175" t="s">
        <v>20</v>
      </c>
      <c r="D30" s="176">
        <v>12</v>
      </c>
      <c r="E30" s="175" t="s">
        <v>79</v>
      </c>
      <c r="F30" s="177">
        <v>27000</v>
      </c>
      <c r="G30" s="191">
        <f t="shared" si="0"/>
        <v>324000</v>
      </c>
      <c r="H30" s="196"/>
      <c r="I30" s="196"/>
    </row>
    <row r="31" spans="1:9" ht="12.75" customHeight="1" x14ac:dyDescent="0.25">
      <c r="A31" s="16"/>
      <c r="B31" s="178" t="s">
        <v>80</v>
      </c>
      <c r="C31" s="175" t="s">
        <v>20</v>
      </c>
      <c r="D31" s="179">
        <v>320</v>
      </c>
      <c r="E31" s="175" t="s">
        <v>79</v>
      </c>
      <c r="F31" s="177">
        <v>27000</v>
      </c>
      <c r="G31" s="191">
        <f t="shared" si="0"/>
        <v>8640000</v>
      </c>
      <c r="H31" s="196"/>
      <c r="I31" s="196"/>
    </row>
    <row r="32" spans="1:9" ht="12.75" customHeight="1" x14ac:dyDescent="0.25">
      <c r="A32" s="16"/>
      <c r="B32" s="178" t="s">
        <v>81</v>
      </c>
      <c r="C32" s="175" t="s">
        <v>20</v>
      </c>
      <c r="D32" s="176">
        <v>25</v>
      </c>
      <c r="E32" s="175" t="s">
        <v>82</v>
      </c>
      <c r="F32" s="177">
        <v>27000</v>
      </c>
      <c r="G32" s="191">
        <f t="shared" si="0"/>
        <v>675000</v>
      </c>
      <c r="H32" s="196"/>
      <c r="I32" s="196"/>
    </row>
    <row r="33" spans="1:9" ht="12.75" customHeight="1" x14ac:dyDescent="0.25">
      <c r="A33" s="16"/>
      <c r="B33" s="178" t="s">
        <v>83</v>
      </c>
      <c r="C33" s="175" t="s">
        <v>20</v>
      </c>
      <c r="D33" s="176">
        <v>66.75</v>
      </c>
      <c r="E33" s="175" t="s">
        <v>84</v>
      </c>
      <c r="F33" s="177">
        <v>27000</v>
      </c>
      <c r="G33" s="191">
        <f t="shared" si="0"/>
        <v>1802250</v>
      </c>
      <c r="H33" s="196"/>
      <c r="I33" s="196"/>
    </row>
    <row r="34" spans="1:9" ht="12.75" customHeight="1" x14ac:dyDescent="0.25">
      <c r="A34" s="16"/>
      <c r="B34" s="178" t="s">
        <v>85</v>
      </c>
      <c r="C34" s="175" t="s">
        <v>20</v>
      </c>
      <c r="D34" s="179">
        <v>8.75</v>
      </c>
      <c r="E34" s="175" t="s">
        <v>84</v>
      </c>
      <c r="F34" s="177">
        <v>27000</v>
      </c>
      <c r="G34" s="177">
        <f t="shared" si="0"/>
        <v>236250</v>
      </c>
    </row>
    <row r="35" spans="1:9" ht="12.75" customHeight="1" x14ac:dyDescent="0.25">
      <c r="A35" s="16"/>
      <c r="B35" s="178" t="s">
        <v>86</v>
      </c>
      <c r="C35" s="175" t="s">
        <v>20</v>
      </c>
      <c r="D35" s="176">
        <v>4</v>
      </c>
      <c r="E35" s="175" t="s">
        <v>61</v>
      </c>
      <c r="F35" s="177">
        <v>27000</v>
      </c>
      <c r="G35" s="177">
        <f t="shared" si="0"/>
        <v>108000</v>
      </c>
    </row>
    <row r="36" spans="1:9" ht="12.75" customHeight="1" x14ac:dyDescent="0.25">
      <c r="A36" s="16"/>
      <c r="B36" s="178" t="s">
        <v>87</v>
      </c>
      <c r="C36" s="175" t="s">
        <v>20</v>
      </c>
      <c r="D36" s="176">
        <v>12</v>
      </c>
      <c r="E36" s="175" t="s">
        <v>84</v>
      </c>
      <c r="F36" s="177">
        <v>27000</v>
      </c>
      <c r="G36" s="177">
        <f t="shared" si="0"/>
        <v>324000</v>
      </c>
    </row>
    <row r="37" spans="1:9" ht="12.75" customHeight="1" x14ac:dyDescent="0.25">
      <c r="A37" s="16"/>
      <c r="B37" s="178" t="s">
        <v>88</v>
      </c>
      <c r="C37" s="175" t="s">
        <v>20</v>
      </c>
      <c r="D37" s="179">
        <v>24</v>
      </c>
      <c r="E37" s="175" t="s">
        <v>89</v>
      </c>
      <c r="F37" s="177">
        <v>27000</v>
      </c>
      <c r="G37" s="177">
        <f t="shared" si="0"/>
        <v>648000</v>
      </c>
    </row>
    <row r="38" spans="1:9" ht="12.75" customHeight="1" x14ac:dyDescent="0.25">
      <c r="A38" s="16"/>
      <c r="B38" s="178" t="s">
        <v>90</v>
      </c>
      <c r="C38" s="175" t="s">
        <v>20</v>
      </c>
      <c r="D38" s="176">
        <v>15</v>
      </c>
      <c r="E38" s="175" t="s">
        <v>89</v>
      </c>
      <c r="F38" s="177">
        <v>27000</v>
      </c>
      <c r="G38" s="177">
        <f t="shared" si="0"/>
        <v>405000</v>
      </c>
    </row>
    <row r="39" spans="1:9" ht="12.75" customHeight="1" x14ac:dyDescent="0.25">
      <c r="A39" s="16"/>
      <c r="B39" s="174" t="s">
        <v>147</v>
      </c>
      <c r="C39" s="175"/>
      <c r="D39" s="176"/>
      <c r="E39" s="175"/>
      <c r="F39" s="177"/>
      <c r="G39" s="177"/>
    </row>
    <row r="40" spans="1:9" ht="12.75" customHeight="1" x14ac:dyDescent="0.25">
      <c r="A40" s="16"/>
      <c r="B40" s="178" t="s">
        <v>140</v>
      </c>
      <c r="C40" s="175" t="s">
        <v>20</v>
      </c>
      <c r="D40" s="176">
        <v>112</v>
      </c>
      <c r="E40" s="175" t="s">
        <v>173</v>
      </c>
      <c r="F40" s="177">
        <v>27000</v>
      </c>
      <c r="G40" s="177">
        <f t="shared" si="0"/>
        <v>3024000</v>
      </c>
    </row>
    <row r="41" spans="1:9" ht="27" customHeight="1" x14ac:dyDescent="0.25">
      <c r="A41" s="16"/>
      <c r="B41" s="174" t="s">
        <v>148</v>
      </c>
      <c r="C41" s="175"/>
      <c r="D41" s="176"/>
      <c r="E41" s="175"/>
      <c r="F41" s="177"/>
      <c r="G41" s="177"/>
    </row>
    <row r="42" spans="1:9" ht="12.75" customHeight="1" x14ac:dyDescent="0.25">
      <c r="A42" s="16"/>
      <c r="B42" s="178" t="s">
        <v>180</v>
      </c>
      <c r="C42" s="175" t="s">
        <v>20</v>
      </c>
      <c r="D42" s="176">
        <v>56</v>
      </c>
      <c r="E42" s="175" t="s">
        <v>173</v>
      </c>
      <c r="F42" s="177">
        <v>27000</v>
      </c>
      <c r="G42" s="177">
        <f t="shared" si="0"/>
        <v>1512000</v>
      </c>
    </row>
    <row r="43" spans="1:9" ht="12.75" customHeight="1" x14ac:dyDescent="0.25">
      <c r="A43" s="16"/>
      <c r="B43" s="25" t="s">
        <v>21</v>
      </c>
      <c r="C43" s="26"/>
      <c r="D43" s="26"/>
      <c r="E43" s="26"/>
      <c r="F43" s="27"/>
      <c r="G43" s="121">
        <f>SUM(G21:G42)</f>
        <v>19215000</v>
      </c>
    </row>
    <row r="44" spans="1:9" ht="12" customHeight="1" x14ac:dyDescent="0.25">
      <c r="A44" s="2"/>
      <c r="B44" s="17"/>
      <c r="C44" s="19"/>
      <c r="D44" s="19"/>
      <c r="E44" s="19"/>
      <c r="F44" s="28"/>
      <c r="G44" s="100"/>
    </row>
    <row r="45" spans="1:9" ht="12" customHeight="1" x14ac:dyDescent="0.25">
      <c r="A45" s="5"/>
      <c r="B45" s="29" t="s">
        <v>22</v>
      </c>
      <c r="C45" s="30"/>
      <c r="D45" s="31"/>
      <c r="E45" s="31"/>
      <c r="F45" s="32"/>
      <c r="G45" s="101"/>
    </row>
    <row r="46" spans="1:9" ht="24" customHeight="1" x14ac:dyDescent="0.25">
      <c r="A46" s="5"/>
      <c r="B46" s="33" t="s">
        <v>14</v>
      </c>
      <c r="C46" s="34" t="s">
        <v>15</v>
      </c>
      <c r="D46" s="34" t="s">
        <v>16</v>
      </c>
      <c r="E46" s="33" t="s">
        <v>57</v>
      </c>
      <c r="F46" s="34" t="s">
        <v>18</v>
      </c>
      <c r="G46" s="33" t="s">
        <v>19</v>
      </c>
    </row>
    <row r="47" spans="1:9" ht="12" customHeight="1" x14ac:dyDescent="0.25">
      <c r="A47" s="5"/>
      <c r="B47" s="35" t="s">
        <v>91</v>
      </c>
      <c r="C47" s="36" t="s">
        <v>91</v>
      </c>
      <c r="D47" s="36" t="s">
        <v>91</v>
      </c>
      <c r="E47" s="36" t="s">
        <v>91</v>
      </c>
      <c r="F47" s="90"/>
      <c r="G47" s="123"/>
    </row>
    <row r="48" spans="1:9" ht="12" customHeight="1" x14ac:dyDescent="0.25">
      <c r="A48" s="5"/>
      <c r="B48" s="37" t="s">
        <v>23</v>
      </c>
      <c r="C48" s="38"/>
      <c r="D48" s="38"/>
      <c r="E48" s="38"/>
      <c r="F48" s="39"/>
      <c r="G48" s="124"/>
    </row>
    <row r="49" spans="1:7" ht="12" customHeight="1" x14ac:dyDescent="0.25">
      <c r="A49" s="2"/>
      <c r="B49" s="40"/>
      <c r="C49" s="41"/>
      <c r="D49" s="41"/>
      <c r="E49" s="41"/>
      <c r="F49" s="42"/>
      <c r="G49" s="102"/>
    </row>
    <row r="50" spans="1:7" ht="12" customHeight="1" x14ac:dyDescent="0.25">
      <c r="A50" s="5"/>
      <c r="B50" s="29" t="s">
        <v>24</v>
      </c>
      <c r="C50" s="30"/>
      <c r="D50" s="31"/>
      <c r="E50" s="31"/>
      <c r="F50" s="32"/>
      <c r="G50" s="101"/>
    </row>
    <row r="51" spans="1:7" ht="24" customHeight="1" x14ac:dyDescent="0.25">
      <c r="A51" s="5"/>
      <c r="B51" s="43" t="s">
        <v>14</v>
      </c>
      <c r="C51" s="43" t="s">
        <v>15</v>
      </c>
      <c r="D51" s="43" t="s">
        <v>16</v>
      </c>
      <c r="E51" s="43" t="s">
        <v>17</v>
      </c>
      <c r="F51" s="44" t="s">
        <v>18</v>
      </c>
      <c r="G51" s="43" t="s">
        <v>19</v>
      </c>
    </row>
    <row r="52" spans="1:7" ht="41.25" customHeight="1" x14ac:dyDescent="0.25">
      <c r="A52" s="16"/>
      <c r="B52" s="181" t="s">
        <v>169</v>
      </c>
      <c r="C52" s="168" t="s">
        <v>92</v>
      </c>
      <c r="D52" s="169">
        <f>14.5+12</f>
        <v>26.5</v>
      </c>
      <c r="E52" s="168" t="s">
        <v>73</v>
      </c>
      <c r="F52" s="170">
        <f>18000*1.19</f>
        <v>21420</v>
      </c>
      <c r="G52" s="170">
        <f>D52*F52/2</f>
        <v>283815</v>
      </c>
    </row>
    <row r="53" spans="1:7" ht="36.75" customHeight="1" x14ac:dyDescent="0.25">
      <c r="A53" s="16"/>
      <c r="B53" s="168" t="s">
        <v>185</v>
      </c>
      <c r="C53" s="168" t="s">
        <v>93</v>
      </c>
      <c r="D53" s="169">
        <f>120*48</f>
        <v>5760</v>
      </c>
      <c r="E53" s="168" t="s">
        <v>73</v>
      </c>
      <c r="F53" s="170">
        <v>382</v>
      </c>
      <c r="G53" s="170">
        <f>D53*F53/2</f>
        <v>1100160</v>
      </c>
    </row>
    <row r="54" spans="1:7" ht="12.75" customHeight="1" x14ac:dyDescent="0.25">
      <c r="A54" s="5"/>
      <c r="B54" s="45" t="s">
        <v>25</v>
      </c>
      <c r="C54" s="46"/>
      <c r="D54" s="46"/>
      <c r="E54" s="46"/>
      <c r="F54" s="46"/>
      <c r="G54" s="122">
        <f>SUM(G52:G53)</f>
        <v>1383975</v>
      </c>
    </row>
    <row r="55" spans="1:7" ht="12" customHeight="1" x14ac:dyDescent="0.25">
      <c r="A55" s="2"/>
      <c r="B55" s="40"/>
      <c r="C55" s="41"/>
      <c r="D55" s="41"/>
      <c r="E55" s="41"/>
      <c r="F55" s="42"/>
      <c r="G55" s="102"/>
    </row>
    <row r="56" spans="1:7" ht="12" customHeight="1" x14ac:dyDescent="0.25">
      <c r="A56" s="5"/>
      <c r="B56" s="29" t="s">
        <v>26</v>
      </c>
      <c r="C56" s="30"/>
      <c r="D56" s="31"/>
      <c r="E56" s="31"/>
      <c r="F56" s="32"/>
      <c r="G56" s="101"/>
    </row>
    <row r="57" spans="1:7" ht="24" customHeight="1" x14ac:dyDescent="0.25">
      <c r="A57" s="5"/>
      <c r="B57" s="93" t="s">
        <v>27</v>
      </c>
      <c r="C57" s="93" t="s">
        <v>28</v>
      </c>
      <c r="D57" s="93" t="s">
        <v>29</v>
      </c>
      <c r="E57" s="93" t="s">
        <v>17</v>
      </c>
      <c r="F57" s="93" t="s">
        <v>18</v>
      </c>
      <c r="G57" s="103" t="s">
        <v>19</v>
      </c>
    </row>
    <row r="58" spans="1:7" ht="12.75" customHeight="1" x14ac:dyDescent="0.25">
      <c r="A58" s="56"/>
      <c r="B58" s="130" t="s">
        <v>151</v>
      </c>
      <c r="C58" s="96"/>
      <c r="D58" s="95"/>
      <c r="E58" s="96"/>
      <c r="F58" s="96"/>
      <c r="G58" s="95"/>
    </row>
    <row r="59" spans="1:7" ht="24" customHeight="1" x14ac:dyDescent="0.25">
      <c r="A59" s="56"/>
      <c r="B59" s="148" t="s">
        <v>177</v>
      </c>
      <c r="C59" s="149" t="s">
        <v>60</v>
      </c>
      <c r="D59" s="150">
        <f>2850-500</f>
        <v>2350</v>
      </c>
      <c r="E59" s="149" t="s">
        <v>67</v>
      </c>
      <c r="F59" s="152">
        <v>4403</v>
      </c>
      <c r="G59" s="152">
        <f>D59*F59/3</f>
        <v>3449016.6666666665</v>
      </c>
    </row>
    <row r="60" spans="1:7" ht="31.5" customHeight="1" x14ac:dyDescent="0.25">
      <c r="A60" s="56"/>
      <c r="B60" s="153" t="s">
        <v>183</v>
      </c>
      <c r="C60" s="149" t="s">
        <v>94</v>
      </c>
      <c r="D60" s="150">
        <v>500</v>
      </c>
      <c r="E60" s="149" t="s">
        <v>67</v>
      </c>
      <c r="F60" s="152">
        <f>2950*1.19</f>
        <v>3510.5</v>
      </c>
      <c r="G60" s="152">
        <f>D60*F60/2</f>
        <v>877625</v>
      </c>
    </row>
    <row r="61" spans="1:7" ht="26.25" customHeight="1" x14ac:dyDescent="0.25">
      <c r="A61" s="56"/>
      <c r="B61" s="153" t="s">
        <v>178</v>
      </c>
      <c r="C61" s="149" t="s">
        <v>60</v>
      </c>
      <c r="D61" s="150">
        <v>330</v>
      </c>
      <c r="E61" s="149" t="s">
        <v>67</v>
      </c>
      <c r="F61" s="152">
        <f>3700*1.19</f>
        <v>4403</v>
      </c>
      <c r="G61" s="152">
        <f>D61*F61/3</f>
        <v>484330</v>
      </c>
    </row>
    <row r="62" spans="1:7" ht="24.75" customHeight="1" x14ac:dyDescent="0.25">
      <c r="A62" s="56"/>
      <c r="B62" s="153" t="s">
        <v>179</v>
      </c>
      <c r="C62" s="149" t="s">
        <v>60</v>
      </c>
      <c r="D62" s="150">
        <v>230</v>
      </c>
      <c r="E62" s="149" t="s">
        <v>67</v>
      </c>
      <c r="F62" s="152">
        <f>3700*1.19</f>
        <v>4403</v>
      </c>
      <c r="G62" s="152">
        <f>D62*F62/3</f>
        <v>337563.33333333331</v>
      </c>
    </row>
    <row r="63" spans="1:7" ht="26.25" customHeight="1" x14ac:dyDescent="0.25">
      <c r="A63" s="56"/>
      <c r="B63" s="153" t="s">
        <v>161</v>
      </c>
      <c r="C63" s="149" t="s">
        <v>60</v>
      </c>
      <c r="D63" s="150">
        <v>215</v>
      </c>
      <c r="E63" s="149" t="s">
        <v>67</v>
      </c>
      <c r="F63" s="152">
        <f>3700*1.19</f>
        <v>4403</v>
      </c>
      <c r="G63" s="152">
        <f>D63*F63/3</f>
        <v>315548.33333333331</v>
      </c>
    </row>
    <row r="64" spans="1:7" ht="30" customHeight="1" x14ac:dyDescent="0.25">
      <c r="A64" s="56"/>
      <c r="B64" s="153" t="s">
        <v>162</v>
      </c>
      <c r="C64" s="149" t="s">
        <v>60</v>
      </c>
      <c r="D64" s="150">
        <v>80</v>
      </c>
      <c r="E64" s="149" t="s">
        <v>67</v>
      </c>
      <c r="F64" s="152">
        <f>2950*1.19</f>
        <v>3510.5</v>
      </c>
      <c r="G64" s="152">
        <f>D64*F64/2</f>
        <v>140420</v>
      </c>
    </row>
    <row r="65" spans="1:234" ht="27" customHeight="1" x14ac:dyDescent="0.25">
      <c r="A65" s="56"/>
      <c r="B65" s="153" t="s">
        <v>182</v>
      </c>
      <c r="C65" s="149" t="s">
        <v>160</v>
      </c>
      <c r="D65" s="150">
        <v>14</v>
      </c>
      <c r="E65" s="149" t="s">
        <v>67</v>
      </c>
      <c r="F65" s="152">
        <v>250000</v>
      </c>
      <c r="G65" s="152">
        <f>D65*F65/8</f>
        <v>437500</v>
      </c>
    </row>
    <row r="66" spans="1:234" ht="28.5" customHeight="1" x14ac:dyDescent="0.25">
      <c r="A66" s="56"/>
      <c r="B66" s="137" t="s">
        <v>164</v>
      </c>
      <c r="C66" s="139" t="s">
        <v>163</v>
      </c>
      <c r="D66" s="134">
        <v>4</v>
      </c>
      <c r="E66" s="149" t="s">
        <v>67</v>
      </c>
      <c r="F66" s="135">
        <v>52836</v>
      </c>
      <c r="G66" s="136">
        <f>D66*F66/8</f>
        <v>26418</v>
      </c>
    </row>
    <row r="67" spans="1:234" ht="43.5" customHeight="1" x14ac:dyDescent="0.25">
      <c r="A67" s="56"/>
      <c r="B67" s="153" t="s">
        <v>184</v>
      </c>
      <c r="C67" s="149" t="s">
        <v>60</v>
      </c>
      <c r="D67" s="150">
        <v>420</v>
      </c>
      <c r="E67" s="149" t="s">
        <v>67</v>
      </c>
      <c r="F67" s="152">
        <f>2950*1.19</f>
        <v>3510.5</v>
      </c>
      <c r="G67" s="152">
        <f>D67*F67/2</f>
        <v>737205</v>
      </c>
      <c r="H67" s="192"/>
    </row>
    <row r="68" spans="1:234" s="142" customFormat="1" ht="12.75" customHeight="1" x14ac:dyDescent="0.25">
      <c r="A68" s="140"/>
      <c r="B68" s="143" t="s">
        <v>165</v>
      </c>
      <c r="C68" s="158"/>
      <c r="D68" s="159"/>
      <c r="E68" s="158"/>
      <c r="F68" s="160"/>
      <c r="G68" s="160"/>
      <c r="H68" s="193"/>
      <c r="I68" s="193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1"/>
      <c r="FF68" s="141"/>
      <c r="FG68" s="141"/>
      <c r="FH68" s="141"/>
      <c r="FI68" s="141"/>
      <c r="FJ68" s="141"/>
      <c r="FK68" s="141"/>
      <c r="FL68" s="141"/>
      <c r="FM68" s="141"/>
      <c r="FN68" s="141"/>
      <c r="FO68" s="141"/>
      <c r="FP68" s="141"/>
      <c r="FQ68" s="141"/>
      <c r="FR68" s="141"/>
      <c r="FS68" s="141"/>
      <c r="FT68" s="141"/>
      <c r="FU68" s="141"/>
      <c r="FV68" s="141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</row>
    <row r="69" spans="1:234" ht="24.75" customHeight="1" x14ac:dyDescent="0.25">
      <c r="A69" s="56"/>
      <c r="B69" s="156" t="s">
        <v>176</v>
      </c>
      <c r="C69" s="149" t="s">
        <v>93</v>
      </c>
      <c r="D69" s="150">
        <v>11520</v>
      </c>
      <c r="E69" s="149" t="s">
        <v>75</v>
      </c>
      <c r="F69" s="152">
        <f>42*1.19</f>
        <v>49.98</v>
      </c>
      <c r="G69" s="152">
        <f>D69*F69/2</f>
        <v>287884.79999999999</v>
      </c>
    </row>
    <row r="70" spans="1:234" ht="12.75" customHeight="1" x14ac:dyDescent="0.25">
      <c r="A70" s="56"/>
      <c r="B70" s="153" t="s">
        <v>95</v>
      </c>
      <c r="C70" s="151" t="s">
        <v>60</v>
      </c>
      <c r="D70" s="180">
        <v>40.510127531882972</v>
      </c>
      <c r="E70" s="151" t="s">
        <v>134</v>
      </c>
      <c r="F70" s="155">
        <f>4202*1.19</f>
        <v>5000.38</v>
      </c>
      <c r="G70" s="155">
        <f t="shared" ref="G70" si="1">D70*F70</f>
        <v>202566.03150787699</v>
      </c>
    </row>
    <row r="71" spans="1:234" ht="27" customHeight="1" x14ac:dyDescent="0.25">
      <c r="A71" s="56"/>
      <c r="B71" s="153" t="s">
        <v>167</v>
      </c>
      <c r="C71" s="151" t="s">
        <v>166</v>
      </c>
      <c r="D71" s="180">
        <v>1</v>
      </c>
      <c r="E71" s="151" t="s">
        <v>168</v>
      </c>
      <c r="F71" s="155">
        <v>10000000</v>
      </c>
      <c r="G71" s="155">
        <f>D71*F71/8</f>
        <v>1250000</v>
      </c>
    </row>
    <row r="72" spans="1:234" ht="12.75" customHeight="1" x14ac:dyDescent="0.25">
      <c r="A72" s="56"/>
      <c r="B72" s="130" t="s">
        <v>150</v>
      </c>
      <c r="C72" s="92"/>
      <c r="D72" s="94"/>
      <c r="E72" s="92"/>
      <c r="F72" s="95"/>
      <c r="G72" s="95"/>
    </row>
    <row r="73" spans="1:234" ht="12.75" customHeight="1" x14ac:dyDescent="0.25">
      <c r="A73" s="56"/>
      <c r="B73" s="156" t="s">
        <v>144</v>
      </c>
      <c r="C73" s="151" t="s">
        <v>59</v>
      </c>
      <c r="D73" s="154">
        <v>14000</v>
      </c>
      <c r="E73" s="151" t="s">
        <v>73</v>
      </c>
      <c r="F73" s="155">
        <v>630</v>
      </c>
      <c r="G73" s="155">
        <f t="shared" ref="G73:G111" si="2">D73*F73</f>
        <v>8820000</v>
      </c>
      <c r="H73" s="192"/>
    </row>
    <row r="74" spans="1:234" ht="12.75" customHeight="1" x14ac:dyDescent="0.25">
      <c r="A74" s="56"/>
      <c r="C74" s="92"/>
      <c r="D74" s="94"/>
      <c r="E74" s="92"/>
      <c r="F74" s="95"/>
      <c r="G74" s="95"/>
    </row>
    <row r="75" spans="1:234" ht="12.75" customHeight="1" x14ac:dyDescent="0.25">
      <c r="A75" s="56"/>
      <c r="B75" s="131" t="s">
        <v>58</v>
      </c>
      <c r="C75" s="92"/>
      <c r="D75" s="94"/>
      <c r="E75" s="92"/>
      <c r="F75" s="95"/>
      <c r="G75" s="95"/>
    </row>
    <row r="76" spans="1:234" ht="12.75" customHeight="1" x14ac:dyDescent="0.25">
      <c r="A76" s="56"/>
      <c r="B76" s="157" t="s">
        <v>96</v>
      </c>
      <c r="C76" s="151" t="s">
        <v>97</v>
      </c>
      <c r="D76" s="154">
        <v>50</v>
      </c>
      <c r="E76" s="151" t="s">
        <v>73</v>
      </c>
      <c r="F76" s="155">
        <v>8000</v>
      </c>
      <c r="G76" s="155">
        <f t="shared" si="2"/>
        <v>400000</v>
      </c>
    </row>
    <row r="77" spans="1:234" ht="12.75" customHeight="1" x14ac:dyDescent="0.25">
      <c r="A77" s="56"/>
      <c r="B77" s="157" t="s">
        <v>98</v>
      </c>
      <c r="C77" s="151" t="s">
        <v>94</v>
      </c>
      <c r="D77" s="154">
        <v>250</v>
      </c>
      <c r="E77" s="151" t="s">
        <v>73</v>
      </c>
      <c r="F77" s="155">
        <f>897*1.19</f>
        <v>1067.43</v>
      </c>
      <c r="G77" s="155">
        <f t="shared" si="2"/>
        <v>266857.5</v>
      </c>
    </row>
    <row r="78" spans="1:234" ht="12.75" customHeight="1" x14ac:dyDescent="0.25">
      <c r="A78" s="56"/>
      <c r="B78" s="157" t="s">
        <v>99</v>
      </c>
      <c r="C78" s="151" t="s">
        <v>94</v>
      </c>
      <c r="D78" s="154">
        <v>200</v>
      </c>
      <c r="E78" s="151" t="s">
        <v>100</v>
      </c>
      <c r="F78" s="155">
        <f>2020*1.19</f>
        <v>2403.7999999999997</v>
      </c>
      <c r="G78" s="155">
        <f t="shared" si="2"/>
        <v>480759.99999999994</v>
      </c>
    </row>
    <row r="79" spans="1:234" s="142" customFormat="1" ht="12.75" customHeight="1" x14ac:dyDescent="0.25">
      <c r="A79" s="140"/>
      <c r="B79" s="197" t="s">
        <v>101</v>
      </c>
      <c r="C79" s="198" t="s">
        <v>102</v>
      </c>
      <c r="D79" s="199">
        <v>1300</v>
      </c>
      <c r="E79" s="198" t="s">
        <v>84</v>
      </c>
      <c r="F79" s="200">
        <v>1946</v>
      </c>
      <c r="G79" s="200">
        <f t="shared" si="2"/>
        <v>2529800</v>
      </c>
      <c r="H79" s="201"/>
      <c r="I79" s="193"/>
      <c r="J79" s="202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</row>
    <row r="80" spans="1:234" s="142" customFormat="1" ht="12.75" customHeight="1" x14ac:dyDescent="0.25">
      <c r="A80" s="140"/>
      <c r="B80" s="197" t="s">
        <v>103</v>
      </c>
      <c r="C80" s="198" t="s">
        <v>94</v>
      </c>
      <c r="D80" s="199">
        <v>450</v>
      </c>
      <c r="E80" s="198" t="s">
        <v>84</v>
      </c>
      <c r="F80" s="200">
        <f>666*1.19</f>
        <v>792.54</v>
      </c>
      <c r="G80" s="200">
        <f t="shared" si="2"/>
        <v>356643</v>
      </c>
      <c r="H80" s="193"/>
      <c r="I80" s="203"/>
      <c r="J80" s="202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</row>
    <row r="81" spans="1:234" s="142" customFormat="1" ht="12.75" customHeight="1" x14ac:dyDescent="0.25">
      <c r="A81" s="140"/>
      <c r="B81" s="197" t="s">
        <v>104</v>
      </c>
      <c r="C81" s="198" t="s">
        <v>94</v>
      </c>
      <c r="D81" s="199">
        <v>100</v>
      </c>
      <c r="E81" s="198" t="s">
        <v>84</v>
      </c>
      <c r="F81" s="200">
        <f>598*1.19</f>
        <v>711.62</v>
      </c>
      <c r="G81" s="200">
        <f t="shared" si="2"/>
        <v>71162</v>
      </c>
      <c r="H81" s="193"/>
      <c r="I81" s="203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</row>
    <row r="82" spans="1:234" s="142" customFormat="1" ht="12.75" customHeight="1" x14ac:dyDescent="0.25">
      <c r="A82" s="140"/>
      <c r="B82" s="197" t="s">
        <v>105</v>
      </c>
      <c r="C82" s="198" t="s">
        <v>94</v>
      </c>
      <c r="D82" s="199">
        <v>100</v>
      </c>
      <c r="E82" s="198" t="s">
        <v>84</v>
      </c>
      <c r="F82" s="200">
        <f>1610*1.19</f>
        <v>1915.8999999999999</v>
      </c>
      <c r="G82" s="200">
        <f t="shared" si="2"/>
        <v>191590</v>
      </c>
      <c r="H82" s="193"/>
      <c r="I82" s="193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  <c r="HS82" s="141"/>
      <c r="HT82" s="141"/>
      <c r="HU82" s="141"/>
      <c r="HV82" s="141"/>
      <c r="HW82" s="141"/>
      <c r="HX82" s="141"/>
      <c r="HY82" s="141"/>
      <c r="HZ82" s="141"/>
    </row>
    <row r="83" spans="1:234" s="142" customFormat="1" ht="12.75" customHeight="1" x14ac:dyDescent="0.25">
      <c r="A83" s="140"/>
      <c r="B83" s="197" t="s">
        <v>106</v>
      </c>
      <c r="C83" s="198" t="s">
        <v>94</v>
      </c>
      <c r="D83" s="199">
        <v>100</v>
      </c>
      <c r="E83" s="198" t="s">
        <v>84</v>
      </c>
      <c r="F83" s="200">
        <f>1610*1.19</f>
        <v>1915.8999999999999</v>
      </c>
      <c r="G83" s="200">
        <f t="shared" si="2"/>
        <v>191590</v>
      </c>
      <c r="H83" s="193"/>
      <c r="I83" s="193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  <c r="BX83" s="141"/>
      <c r="BY83" s="141"/>
      <c r="BZ83" s="141"/>
      <c r="CA83" s="141"/>
      <c r="CB83" s="141"/>
      <c r="CC83" s="141"/>
      <c r="CD83" s="141"/>
      <c r="CE83" s="141"/>
      <c r="CF83" s="141"/>
      <c r="CG83" s="141"/>
      <c r="CH83" s="141"/>
      <c r="CI83" s="141"/>
      <c r="CJ83" s="141"/>
      <c r="CK83" s="141"/>
      <c r="CL83" s="141"/>
      <c r="CM83" s="141"/>
      <c r="CN83" s="141"/>
      <c r="CO83" s="141"/>
      <c r="CP83" s="141"/>
      <c r="CQ83" s="141"/>
      <c r="CR83" s="141"/>
      <c r="CS83" s="141"/>
      <c r="CT83" s="141"/>
      <c r="CU83" s="141"/>
      <c r="CV83" s="141"/>
      <c r="CW83" s="141"/>
      <c r="CX83" s="141"/>
      <c r="CY83" s="141"/>
      <c r="CZ83" s="141"/>
      <c r="DA83" s="141"/>
      <c r="DB83" s="141"/>
      <c r="DC83" s="141"/>
      <c r="DD83" s="141"/>
      <c r="DE83" s="141"/>
      <c r="DF83" s="141"/>
      <c r="DG83" s="141"/>
      <c r="DH83" s="141"/>
      <c r="DI83" s="141"/>
      <c r="DJ83" s="141"/>
      <c r="DK83" s="141"/>
      <c r="DL83" s="141"/>
      <c r="DM83" s="141"/>
      <c r="DN83" s="141"/>
      <c r="DO83" s="141"/>
      <c r="DP83" s="141"/>
      <c r="DQ83" s="141"/>
      <c r="DR83" s="141"/>
      <c r="DS83" s="141"/>
      <c r="DT83" s="141"/>
      <c r="DU83" s="141"/>
      <c r="DV83" s="141"/>
      <c r="DW83" s="141"/>
      <c r="DX83" s="141"/>
      <c r="DY83" s="141"/>
      <c r="DZ83" s="141"/>
      <c r="EA83" s="141"/>
      <c r="EB83" s="141"/>
      <c r="EC83" s="141"/>
      <c r="ED83" s="141"/>
      <c r="EE83" s="141"/>
      <c r="EF83" s="141"/>
      <c r="EG83" s="141"/>
      <c r="EH83" s="141"/>
      <c r="EI83" s="141"/>
      <c r="EJ83" s="141"/>
      <c r="EK83" s="141"/>
      <c r="EL83" s="141"/>
      <c r="EM83" s="141"/>
      <c r="EN83" s="141"/>
      <c r="EO83" s="141"/>
      <c r="EP83" s="141"/>
      <c r="EQ83" s="141"/>
      <c r="ER83" s="141"/>
      <c r="ES83" s="141"/>
      <c r="ET83" s="141"/>
      <c r="EU83" s="141"/>
      <c r="EV83" s="141"/>
      <c r="EW83" s="141"/>
      <c r="EX83" s="141"/>
      <c r="EY83" s="141"/>
      <c r="EZ83" s="141"/>
      <c r="FA83" s="141"/>
      <c r="FB83" s="141"/>
      <c r="FC83" s="141"/>
      <c r="FD83" s="141"/>
      <c r="FE83" s="141"/>
      <c r="FF83" s="141"/>
      <c r="FG83" s="141"/>
      <c r="FH83" s="141"/>
      <c r="FI83" s="141"/>
      <c r="FJ83" s="141"/>
      <c r="FK83" s="141"/>
      <c r="FL83" s="141"/>
      <c r="FM83" s="141"/>
      <c r="FN83" s="141"/>
      <c r="FO83" s="141"/>
      <c r="FP83" s="141"/>
      <c r="FQ83" s="141"/>
      <c r="FR83" s="141"/>
      <c r="FS83" s="141"/>
      <c r="FT83" s="141"/>
      <c r="FU83" s="141"/>
      <c r="FV83" s="141"/>
      <c r="FW83" s="141"/>
      <c r="FX83" s="141"/>
      <c r="FY83" s="141"/>
      <c r="FZ83" s="141"/>
      <c r="GA83" s="141"/>
      <c r="GB83" s="141"/>
      <c r="GC83" s="141"/>
      <c r="GD83" s="141"/>
      <c r="GE83" s="141"/>
      <c r="GF83" s="141"/>
      <c r="GG83" s="141"/>
      <c r="GH83" s="141"/>
      <c r="GI83" s="141"/>
      <c r="GJ83" s="141"/>
      <c r="GK83" s="141"/>
      <c r="GL83" s="141"/>
      <c r="GM83" s="141"/>
      <c r="GN83" s="141"/>
      <c r="GO83" s="141"/>
      <c r="GP83" s="141"/>
      <c r="GQ83" s="141"/>
      <c r="GR83" s="141"/>
      <c r="GS83" s="141"/>
      <c r="GT83" s="141"/>
      <c r="GU83" s="141"/>
      <c r="GV83" s="141"/>
      <c r="GW83" s="141"/>
      <c r="GX83" s="141"/>
      <c r="GY83" s="141"/>
      <c r="GZ83" s="141"/>
      <c r="HA83" s="141"/>
      <c r="HB83" s="141"/>
      <c r="HC83" s="141"/>
      <c r="HD83" s="141"/>
      <c r="HE83" s="141"/>
      <c r="HF83" s="141"/>
      <c r="HG83" s="141"/>
      <c r="HH83" s="141"/>
      <c r="HI83" s="141"/>
      <c r="HJ83" s="141"/>
      <c r="HK83" s="141"/>
      <c r="HL83" s="141"/>
      <c r="HM83" s="141"/>
      <c r="HN83" s="141"/>
      <c r="HO83" s="141"/>
      <c r="HP83" s="141"/>
      <c r="HQ83" s="141"/>
      <c r="HR83" s="141"/>
      <c r="HS83" s="141"/>
      <c r="HT83" s="141"/>
      <c r="HU83" s="141"/>
      <c r="HV83" s="141"/>
      <c r="HW83" s="141"/>
      <c r="HX83" s="141"/>
      <c r="HY83" s="141"/>
      <c r="HZ83" s="141"/>
    </row>
    <row r="84" spans="1:234" s="142" customFormat="1" ht="12.75" customHeight="1" x14ac:dyDescent="0.25">
      <c r="A84" s="140"/>
      <c r="B84" s="197" t="s">
        <v>107</v>
      </c>
      <c r="C84" s="198" t="s">
        <v>94</v>
      </c>
      <c r="D84" s="199">
        <v>200</v>
      </c>
      <c r="E84" s="198" t="s">
        <v>84</v>
      </c>
      <c r="F84" s="200">
        <v>1677</v>
      </c>
      <c r="G84" s="200">
        <f t="shared" si="2"/>
        <v>335400</v>
      </c>
      <c r="H84" s="193"/>
      <c r="I84" s="203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41"/>
      <c r="CA84" s="141"/>
      <c r="CB84" s="141"/>
      <c r="CC84" s="141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41"/>
      <c r="CO84" s="141"/>
      <c r="CP84" s="141"/>
      <c r="CQ84" s="141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  <c r="DB84" s="141"/>
      <c r="DC84" s="141"/>
      <c r="DD84" s="141"/>
      <c r="DE84" s="141"/>
      <c r="DF84" s="141"/>
      <c r="DG84" s="141"/>
      <c r="DH84" s="141"/>
      <c r="DI84" s="141"/>
      <c r="DJ84" s="141"/>
      <c r="DK84" s="141"/>
      <c r="DL84" s="141"/>
      <c r="DM84" s="141"/>
      <c r="DN84" s="141"/>
      <c r="DO84" s="141"/>
      <c r="DP84" s="141"/>
      <c r="DQ84" s="141"/>
      <c r="DR84" s="141"/>
      <c r="DS84" s="141"/>
      <c r="DT84" s="141"/>
      <c r="DU84" s="141"/>
      <c r="DV84" s="141"/>
      <c r="DW84" s="141"/>
      <c r="DX84" s="141"/>
      <c r="DY84" s="141"/>
      <c r="DZ84" s="141"/>
      <c r="EA84" s="141"/>
      <c r="EB84" s="141"/>
      <c r="EC84" s="141"/>
      <c r="ED84" s="141"/>
      <c r="EE84" s="141"/>
      <c r="EF84" s="141"/>
      <c r="EG84" s="141"/>
      <c r="EH84" s="141"/>
      <c r="EI84" s="141"/>
      <c r="EJ84" s="141"/>
      <c r="EK84" s="141"/>
      <c r="EL84" s="141"/>
      <c r="EM84" s="141"/>
      <c r="EN84" s="141"/>
      <c r="EO84" s="141"/>
      <c r="EP84" s="141"/>
      <c r="EQ84" s="141"/>
      <c r="ER84" s="141"/>
      <c r="ES84" s="141"/>
      <c r="ET84" s="141"/>
      <c r="EU84" s="141"/>
      <c r="EV84" s="141"/>
      <c r="EW84" s="141"/>
      <c r="EX84" s="141"/>
      <c r="EY84" s="141"/>
      <c r="EZ84" s="141"/>
      <c r="FA84" s="141"/>
      <c r="FB84" s="141"/>
      <c r="FC84" s="141"/>
      <c r="FD84" s="141"/>
      <c r="FE84" s="141"/>
      <c r="FF84" s="141"/>
      <c r="FG84" s="141"/>
      <c r="FH84" s="141"/>
      <c r="FI84" s="141"/>
      <c r="FJ84" s="141"/>
      <c r="FK84" s="141"/>
      <c r="FL84" s="141"/>
      <c r="FM84" s="141"/>
      <c r="FN84" s="141"/>
      <c r="FO84" s="141"/>
      <c r="FP84" s="141"/>
      <c r="FQ84" s="141"/>
      <c r="FR84" s="141"/>
      <c r="FS84" s="141"/>
      <c r="FT84" s="141"/>
      <c r="FU84" s="141"/>
      <c r="FV84" s="141"/>
      <c r="FW84" s="141"/>
      <c r="FX84" s="141"/>
      <c r="FY84" s="141"/>
      <c r="FZ84" s="141"/>
      <c r="GA84" s="141"/>
      <c r="GB84" s="141"/>
      <c r="GC84" s="141"/>
      <c r="GD84" s="141"/>
      <c r="GE84" s="141"/>
      <c r="GF84" s="141"/>
      <c r="GG84" s="141"/>
      <c r="GH84" s="141"/>
      <c r="GI84" s="141"/>
      <c r="GJ84" s="141"/>
      <c r="GK84" s="141"/>
      <c r="GL84" s="141"/>
      <c r="GM84" s="141"/>
      <c r="GN84" s="141"/>
      <c r="GO84" s="141"/>
      <c r="GP84" s="141"/>
      <c r="GQ84" s="141"/>
      <c r="GR84" s="141"/>
      <c r="GS84" s="141"/>
      <c r="GT84" s="141"/>
      <c r="GU84" s="141"/>
      <c r="GV84" s="141"/>
      <c r="GW84" s="141"/>
      <c r="GX84" s="141"/>
      <c r="GY84" s="141"/>
      <c r="GZ84" s="141"/>
      <c r="HA84" s="141"/>
      <c r="HB84" s="141"/>
      <c r="HC84" s="141"/>
      <c r="HD84" s="141"/>
      <c r="HE84" s="141"/>
      <c r="HF84" s="141"/>
      <c r="HG84" s="141"/>
      <c r="HH84" s="141"/>
      <c r="HI84" s="141"/>
      <c r="HJ84" s="141"/>
      <c r="HK84" s="141"/>
      <c r="HL84" s="141"/>
      <c r="HM84" s="141"/>
      <c r="HN84" s="141"/>
      <c r="HO84" s="141"/>
      <c r="HP84" s="141"/>
      <c r="HQ84" s="141"/>
      <c r="HR84" s="141"/>
      <c r="HS84" s="141"/>
      <c r="HT84" s="141"/>
      <c r="HU84" s="141"/>
      <c r="HV84" s="141"/>
      <c r="HW84" s="141"/>
      <c r="HX84" s="141"/>
      <c r="HY84" s="141"/>
      <c r="HZ84" s="141"/>
    </row>
    <row r="85" spans="1:234" ht="12.75" customHeight="1" x14ac:dyDescent="0.25">
      <c r="A85" s="56"/>
      <c r="B85" s="157" t="s">
        <v>108</v>
      </c>
      <c r="C85" s="151" t="s">
        <v>94</v>
      </c>
      <c r="D85" s="154">
        <v>25</v>
      </c>
      <c r="E85" s="151" t="s">
        <v>84</v>
      </c>
      <c r="F85" s="155">
        <f>358*1.19</f>
        <v>426.02</v>
      </c>
      <c r="G85" s="155">
        <f t="shared" si="2"/>
        <v>10650.5</v>
      </c>
    </row>
    <row r="86" spans="1:234" ht="12.75" customHeight="1" x14ac:dyDescent="0.25">
      <c r="A86" s="56"/>
      <c r="B86" s="157" t="s">
        <v>109</v>
      </c>
      <c r="C86" s="151" t="s">
        <v>94</v>
      </c>
      <c r="D86" s="154">
        <v>25</v>
      </c>
      <c r="E86" s="151" t="s">
        <v>110</v>
      </c>
      <c r="F86" s="155">
        <f>2690*1.19</f>
        <v>3201.1</v>
      </c>
      <c r="G86" s="155">
        <f t="shared" si="2"/>
        <v>80027.5</v>
      </c>
    </row>
    <row r="87" spans="1:234" ht="12.75" customHeight="1" x14ac:dyDescent="0.25">
      <c r="A87" s="56"/>
      <c r="B87" s="157" t="s">
        <v>111</v>
      </c>
      <c r="C87" s="151" t="s">
        <v>138</v>
      </c>
      <c r="D87" s="154">
        <v>20</v>
      </c>
      <c r="E87" s="151" t="s">
        <v>84</v>
      </c>
      <c r="F87" s="155">
        <f>17600*1.19</f>
        <v>20944</v>
      </c>
      <c r="G87" s="155">
        <f t="shared" si="2"/>
        <v>418880</v>
      </c>
      <c r="H87" s="192"/>
    </row>
    <row r="88" spans="1:234" ht="12.75" customHeight="1" x14ac:dyDescent="0.25">
      <c r="A88" s="56"/>
      <c r="B88" s="130" t="s">
        <v>149</v>
      </c>
      <c r="C88" s="92"/>
      <c r="D88" s="94"/>
      <c r="E88" s="92"/>
      <c r="F88" s="95"/>
      <c r="G88" s="95"/>
    </row>
    <row r="89" spans="1:234" ht="12.75" customHeight="1" x14ac:dyDescent="0.25">
      <c r="A89" s="56"/>
      <c r="B89" s="145" t="s">
        <v>129</v>
      </c>
      <c r="C89" s="92"/>
      <c r="D89" s="94"/>
      <c r="E89" s="92"/>
      <c r="F89" s="95"/>
      <c r="G89" s="95"/>
    </row>
    <row r="90" spans="1:234" ht="12.75" customHeight="1" x14ac:dyDescent="0.25">
      <c r="A90" s="56"/>
      <c r="B90" s="182" t="s">
        <v>112</v>
      </c>
      <c r="C90" s="183" t="s">
        <v>94</v>
      </c>
      <c r="D90" s="184">
        <v>0.5</v>
      </c>
      <c r="E90" s="183" t="s">
        <v>84</v>
      </c>
      <c r="F90" s="185">
        <f>142000*1.19</f>
        <v>168980</v>
      </c>
      <c r="G90" s="185">
        <f>D90*F90</f>
        <v>84490</v>
      </c>
    </row>
    <row r="91" spans="1:234" ht="12.75" customHeight="1" x14ac:dyDescent="0.25">
      <c r="A91" s="56"/>
      <c r="B91" s="182" t="s">
        <v>113</v>
      </c>
      <c r="C91" s="183" t="s">
        <v>94</v>
      </c>
      <c r="D91" s="184">
        <v>0.5</v>
      </c>
      <c r="E91" s="183" t="s">
        <v>84</v>
      </c>
      <c r="F91" s="185">
        <f>37699*1.19*5</f>
        <v>224309.05</v>
      </c>
      <c r="G91" s="185">
        <f t="shared" si="2"/>
        <v>112154.52499999999</v>
      </c>
    </row>
    <row r="92" spans="1:234" ht="12.75" customHeight="1" x14ac:dyDescent="0.25">
      <c r="A92" s="56"/>
      <c r="B92" s="182" t="s">
        <v>114</v>
      </c>
      <c r="C92" s="183" t="s">
        <v>94</v>
      </c>
      <c r="D92" s="184">
        <v>0.25</v>
      </c>
      <c r="E92" s="183" t="s">
        <v>84</v>
      </c>
      <c r="F92" s="185">
        <f>210210*1.19</f>
        <v>250149.9</v>
      </c>
      <c r="G92" s="185">
        <f t="shared" si="2"/>
        <v>62537.474999999999</v>
      </c>
    </row>
    <row r="93" spans="1:234" ht="12.75" customHeight="1" x14ac:dyDescent="0.25">
      <c r="A93" s="56"/>
      <c r="B93" s="182" t="s">
        <v>115</v>
      </c>
      <c r="C93" s="183" t="s">
        <v>94</v>
      </c>
      <c r="D93" s="184">
        <v>2</v>
      </c>
      <c r="E93" s="183" t="s">
        <v>84</v>
      </c>
      <c r="F93" s="185">
        <f>17604*1.19*5</f>
        <v>104743.79999999999</v>
      </c>
      <c r="G93" s="185">
        <f t="shared" si="2"/>
        <v>209487.59999999998</v>
      </c>
    </row>
    <row r="94" spans="1:234" ht="12.75" customHeight="1" x14ac:dyDescent="0.25">
      <c r="A94" s="56"/>
      <c r="B94" s="182" t="s">
        <v>153</v>
      </c>
      <c r="C94" s="183" t="s">
        <v>172</v>
      </c>
      <c r="D94" s="184">
        <v>1</v>
      </c>
      <c r="E94" s="183" t="s">
        <v>84</v>
      </c>
      <c r="F94" s="185">
        <v>5500</v>
      </c>
      <c r="G94" s="185">
        <f>D94*F94</f>
        <v>5500</v>
      </c>
    </row>
    <row r="95" spans="1:234" ht="12.75" customHeight="1" x14ac:dyDescent="0.25">
      <c r="A95" s="56"/>
      <c r="B95" s="182" t="s">
        <v>116</v>
      </c>
      <c r="C95" s="183" t="s">
        <v>60</v>
      </c>
      <c r="D95" s="184">
        <v>1</v>
      </c>
      <c r="E95" s="183" t="s">
        <v>84</v>
      </c>
      <c r="F95" s="185">
        <f>50266*1.19</f>
        <v>59816.54</v>
      </c>
      <c r="G95" s="185">
        <f t="shared" si="2"/>
        <v>59816.54</v>
      </c>
      <c r="H95" s="192"/>
    </row>
    <row r="96" spans="1:234" s="142" customFormat="1" ht="12.75" hidden="1" customHeight="1" x14ac:dyDescent="0.25">
      <c r="A96" s="140"/>
      <c r="B96" s="182"/>
      <c r="C96" s="183"/>
      <c r="D96" s="184"/>
      <c r="E96" s="183"/>
      <c r="F96" s="185"/>
      <c r="G96" s="185"/>
      <c r="H96" s="193"/>
      <c r="I96" s="193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  <c r="BX96" s="141"/>
      <c r="BY96" s="141"/>
      <c r="BZ96" s="141"/>
      <c r="CA96" s="141"/>
      <c r="CB96" s="141"/>
      <c r="CC96" s="141"/>
      <c r="CD96" s="141"/>
      <c r="CE96" s="141"/>
      <c r="CF96" s="141"/>
      <c r="CG96" s="141"/>
      <c r="CH96" s="141"/>
      <c r="CI96" s="141"/>
      <c r="CJ96" s="141"/>
      <c r="CK96" s="141"/>
      <c r="CL96" s="141"/>
      <c r="CM96" s="141"/>
      <c r="CN96" s="141"/>
      <c r="CO96" s="141"/>
      <c r="CP96" s="141"/>
      <c r="CQ96" s="141"/>
      <c r="CR96" s="141"/>
      <c r="CS96" s="141"/>
      <c r="CT96" s="141"/>
      <c r="CU96" s="141"/>
      <c r="CV96" s="141"/>
      <c r="CW96" s="141"/>
      <c r="CX96" s="141"/>
      <c r="CY96" s="141"/>
      <c r="CZ96" s="141"/>
      <c r="DA96" s="141"/>
      <c r="DB96" s="141"/>
      <c r="DC96" s="141"/>
      <c r="DD96" s="141"/>
      <c r="DE96" s="141"/>
      <c r="DF96" s="141"/>
      <c r="DG96" s="141"/>
      <c r="DH96" s="141"/>
      <c r="DI96" s="141"/>
      <c r="DJ96" s="141"/>
      <c r="DK96" s="141"/>
      <c r="DL96" s="141"/>
      <c r="DM96" s="141"/>
      <c r="DN96" s="141"/>
      <c r="DO96" s="141"/>
      <c r="DP96" s="141"/>
      <c r="DQ96" s="141"/>
      <c r="DR96" s="141"/>
      <c r="DS96" s="141"/>
      <c r="DT96" s="141"/>
      <c r="DU96" s="141"/>
      <c r="DV96" s="141"/>
      <c r="DW96" s="141"/>
      <c r="DX96" s="141"/>
      <c r="DY96" s="141"/>
      <c r="DZ96" s="141"/>
      <c r="EA96" s="141"/>
      <c r="EB96" s="141"/>
      <c r="EC96" s="141"/>
      <c r="ED96" s="141"/>
      <c r="EE96" s="141"/>
      <c r="EF96" s="141"/>
      <c r="EG96" s="141"/>
      <c r="EH96" s="141"/>
      <c r="EI96" s="141"/>
      <c r="EJ96" s="141"/>
      <c r="EK96" s="141"/>
      <c r="EL96" s="141"/>
      <c r="EM96" s="141"/>
      <c r="EN96" s="141"/>
      <c r="EO96" s="141"/>
      <c r="EP96" s="141"/>
      <c r="EQ96" s="141"/>
      <c r="ER96" s="141"/>
      <c r="ES96" s="141"/>
      <c r="ET96" s="141"/>
      <c r="EU96" s="141"/>
      <c r="EV96" s="141"/>
      <c r="EW96" s="141"/>
      <c r="EX96" s="141"/>
      <c r="EY96" s="141"/>
      <c r="EZ96" s="141"/>
      <c r="FA96" s="141"/>
      <c r="FB96" s="141"/>
      <c r="FC96" s="141"/>
      <c r="FD96" s="141"/>
      <c r="FE96" s="141"/>
      <c r="FF96" s="141"/>
      <c r="FG96" s="141"/>
      <c r="FH96" s="141"/>
      <c r="FI96" s="141"/>
      <c r="FJ96" s="141"/>
      <c r="FK96" s="141"/>
      <c r="FL96" s="141"/>
      <c r="FM96" s="141"/>
      <c r="FN96" s="141"/>
      <c r="FO96" s="141"/>
      <c r="FP96" s="141"/>
      <c r="FQ96" s="141"/>
      <c r="FR96" s="141"/>
      <c r="FS96" s="141"/>
      <c r="FT96" s="141"/>
      <c r="FU96" s="141"/>
      <c r="FV96" s="141"/>
      <c r="FW96" s="141"/>
      <c r="FX96" s="141"/>
      <c r="FY96" s="141"/>
      <c r="FZ96" s="141"/>
      <c r="GA96" s="141"/>
      <c r="GB96" s="141"/>
      <c r="GC96" s="141"/>
      <c r="GD96" s="141"/>
      <c r="GE96" s="141"/>
      <c r="GF96" s="141"/>
      <c r="GG96" s="141"/>
      <c r="GH96" s="141"/>
      <c r="GI96" s="141"/>
      <c r="GJ96" s="141"/>
      <c r="GK96" s="141"/>
      <c r="GL96" s="141"/>
      <c r="GM96" s="141"/>
      <c r="GN96" s="141"/>
      <c r="GO96" s="141"/>
      <c r="GP96" s="141"/>
      <c r="GQ96" s="141"/>
      <c r="GR96" s="141"/>
      <c r="GS96" s="141"/>
      <c r="GT96" s="141"/>
      <c r="GU96" s="141"/>
      <c r="GV96" s="141"/>
      <c r="GW96" s="141"/>
      <c r="GX96" s="141"/>
      <c r="GY96" s="141"/>
      <c r="GZ96" s="141"/>
      <c r="HA96" s="141"/>
      <c r="HB96" s="141"/>
      <c r="HC96" s="141"/>
      <c r="HD96" s="141"/>
      <c r="HE96" s="141"/>
      <c r="HF96" s="141"/>
      <c r="HG96" s="141"/>
      <c r="HH96" s="141"/>
      <c r="HI96" s="141"/>
      <c r="HJ96" s="141"/>
      <c r="HK96" s="141"/>
      <c r="HL96" s="141"/>
      <c r="HM96" s="141"/>
      <c r="HN96" s="141"/>
      <c r="HO96" s="141"/>
      <c r="HP96" s="141"/>
      <c r="HQ96" s="141"/>
      <c r="HR96" s="141"/>
      <c r="HS96" s="141"/>
      <c r="HT96" s="141"/>
      <c r="HU96" s="141"/>
      <c r="HV96" s="141"/>
      <c r="HW96" s="141"/>
      <c r="HX96" s="141"/>
      <c r="HY96" s="141"/>
      <c r="HZ96" s="141"/>
    </row>
    <row r="97" spans="1:8" ht="12.75" hidden="1" customHeight="1" x14ac:dyDescent="0.25">
      <c r="A97" s="56"/>
      <c r="B97" s="186"/>
      <c r="C97" s="183"/>
      <c r="D97" s="184"/>
      <c r="E97" s="183"/>
      <c r="F97" s="185"/>
      <c r="G97" s="185"/>
    </row>
    <row r="98" spans="1:8" ht="12.75" hidden="1" customHeight="1" x14ac:dyDescent="0.25">
      <c r="A98" s="56"/>
      <c r="B98" s="186"/>
      <c r="C98" s="183"/>
      <c r="D98" s="184"/>
      <c r="E98" s="183"/>
      <c r="F98" s="185"/>
      <c r="G98" s="185"/>
    </row>
    <row r="99" spans="1:8" ht="12.75" customHeight="1" x14ac:dyDescent="0.25">
      <c r="A99" s="56"/>
      <c r="B99" s="182" t="s">
        <v>130</v>
      </c>
      <c r="C99" s="183"/>
      <c r="D99" s="184"/>
      <c r="E99" s="183"/>
      <c r="F99" s="185"/>
      <c r="G99" s="185"/>
    </row>
    <row r="100" spans="1:8" ht="12.75" customHeight="1" x14ac:dyDescent="0.25">
      <c r="A100" s="56"/>
      <c r="B100" s="182" t="s">
        <v>117</v>
      </c>
      <c r="C100" s="183" t="s">
        <v>94</v>
      </c>
      <c r="D100" s="184">
        <v>0.5</v>
      </c>
      <c r="E100" s="183" t="s">
        <v>73</v>
      </c>
      <c r="F100" s="185">
        <f>68153*1.19</f>
        <v>81102.069999999992</v>
      </c>
      <c r="G100" s="185">
        <f t="shared" si="2"/>
        <v>40551.034999999996</v>
      </c>
    </row>
    <row r="101" spans="1:8" ht="12.75" customHeight="1" x14ac:dyDescent="0.25">
      <c r="A101" s="56"/>
      <c r="B101" s="182" t="s">
        <v>118</v>
      </c>
      <c r="C101" s="183" t="s">
        <v>94</v>
      </c>
      <c r="D101" s="184">
        <v>1</v>
      </c>
      <c r="E101" s="183" t="s">
        <v>119</v>
      </c>
      <c r="F101" s="185">
        <f>146901*1.19</f>
        <v>174812.19</v>
      </c>
      <c r="G101" s="185">
        <f t="shared" si="2"/>
        <v>174812.19</v>
      </c>
    </row>
    <row r="102" spans="1:8" ht="12.75" customHeight="1" x14ac:dyDescent="0.25">
      <c r="A102" s="56"/>
      <c r="B102" s="182" t="s">
        <v>120</v>
      </c>
      <c r="C102" s="183" t="s">
        <v>94</v>
      </c>
      <c r="D102" s="184">
        <v>1</v>
      </c>
      <c r="E102" s="183" t="s">
        <v>121</v>
      </c>
      <c r="F102" s="185">
        <f>87311*1.19</f>
        <v>103900.09</v>
      </c>
      <c r="G102" s="185">
        <f t="shared" si="2"/>
        <v>103900.09</v>
      </c>
    </row>
    <row r="103" spans="1:8" ht="12.75" customHeight="1" x14ac:dyDescent="0.25">
      <c r="A103" s="56"/>
      <c r="B103" s="182" t="s">
        <v>122</v>
      </c>
      <c r="C103" s="183" t="s">
        <v>94</v>
      </c>
      <c r="D103" s="184">
        <v>6</v>
      </c>
      <c r="E103" s="183" t="s">
        <v>121</v>
      </c>
      <c r="F103" s="185">
        <f>20106*1.19</f>
        <v>23926.14</v>
      </c>
      <c r="G103" s="185">
        <f t="shared" si="2"/>
        <v>143556.84</v>
      </c>
    </row>
    <row r="104" spans="1:8" ht="12.75" customHeight="1" x14ac:dyDescent="0.25">
      <c r="A104" s="56"/>
      <c r="B104" s="182" t="s">
        <v>123</v>
      </c>
      <c r="C104" s="183" t="s">
        <v>94</v>
      </c>
      <c r="D104" s="184">
        <v>1</v>
      </c>
      <c r="E104" s="183" t="s">
        <v>119</v>
      </c>
      <c r="F104" s="185">
        <f>197292*1.19</f>
        <v>234777.47999999998</v>
      </c>
      <c r="G104" s="185">
        <f t="shared" si="2"/>
        <v>234777.47999999998</v>
      </c>
    </row>
    <row r="105" spans="1:8" ht="12.75" customHeight="1" x14ac:dyDescent="0.25">
      <c r="A105" s="56"/>
      <c r="B105" s="182" t="s">
        <v>143</v>
      </c>
      <c r="C105" s="183" t="s">
        <v>141</v>
      </c>
      <c r="D105" s="184">
        <v>5</v>
      </c>
      <c r="E105" s="183" t="s">
        <v>142</v>
      </c>
      <c r="F105" s="185">
        <f>1728*1.19</f>
        <v>2056.3199999999997</v>
      </c>
      <c r="G105" s="185">
        <f t="shared" si="2"/>
        <v>10281.599999999999</v>
      </c>
    </row>
    <row r="106" spans="1:8" ht="12.75" customHeight="1" x14ac:dyDescent="0.25">
      <c r="A106" s="56"/>
      <c r="B106" s="182" t="s">
        <v>124</v>
      </c>
      <c r="C106" s="183" t="s">
        <v>94</v>
      </c>
      <c r="D106" s="184">
        <v>1</v>
      </c>
      <c r="E106" s="183" t="s">
        <v>125</v>
      </c>
      <c r="F106" s="185">
        <f>64717*1.19</f>
        <v>77013.23</v>
      </c>
      <c r="G106" s="185">
        <f t="shared" si="2"/>
        <v>77013.23</v>
      </c>
    </row>
    <row r="107" spans="1:8" ht="12.75" customHeight="1" x14ac:dyDescent="0.25">
      <c r="A107" s="56"/>
      <c r="B107" s="182" t="s">
        <v>152</v>
      </c>
      <c r="C107" s="183" t="s">
        <v>60</v>
      </c>
      <c r="D107" s="184">
        <v>1</v>
      </c>
      <c r="E107" s="183" t="s">
        <v>171</v>
      </c>
      <c r="F107" s="185">
        <v>205368</v>
      </c>
      <c r="G107" s="185">
        <f t="shared" si="2"/>
        <v>205368</v>
      </c>
      <c r="H107" s="192"/>
    </row>
    <row r="108" spans="1:8" ht="12.75" customHeight="1" x14ac:dyDescent="0.25">
      <c r="A108" s="56"/>
      <c r="B108" s="186" t="s">
        <v>154</v>
      </c>
      <c r="C108" s="183"/>
      <c r="D108" s="184"/>
      <c r="E108" s="183"/>
      <c r="F108" s="185"/>
      <c r="G108" s="185"/>
    </row>
    <row r="109" spans="1:8" ht="12.75" customHeight="1" x14ac:dyDescent="0.25">
      <c r="A109" s="56"/>
      <c r="B109" s="162" t="s">
        <v>170</v>
      </c>
      <c r="C109" s="163" t="s">
        <v>160</v>
      </c>
      <c r="D109" s="164">
        <v>6</v>
      </c>
      <c r="E109" s="161" t="s">
        <v>134</v>
      </c>
      <c r="F109" s="165">
        <f>38500*1.19</f>
        <v>45815</v>
      </c>
      <c r="G109" s="165">
        <f t="shared" si="2"/>
        <v>274890</v>
      </c>
      <c r="H109" s="192"/>
    </row>
    <row r="110" spans="1:8" ht="12.75" customHeight="1" x14ac:dyDescent="0.25">
      <c r="A110" s="56"/>
      <c r="B110" s="131" t="s">
        <v>155</v>
      </c>
      <c r="C110" s="92"/>
      <c r="D110" s="94"/>
      <c r="E110" s="92"/>
      <c r="F110" s="95"/>
      <c r="G110" s="95">
        <f t="shared" si="2"/>
        <v>0</v>
      </c>
    </row>
    <row r="111" spans="1:8" ht="12.75" customHeight="1" x14ac:dyDescent="0.25">
      <c r="A111" s="56"/>
      <c r="B111" s="97" t="s">
        <v>156</v>
      </c>
      <c r="C111" s="92" t="s">
        <v>158</v>
      </c>
      <c r="D111" s="94">
        <v>20</v>
      </c>
      <c r="E111" s="161" t="s">
        <v>134</v>
      </c>
      <c r="F111" s="95">
        <f>2250*1.19</f>
        <v>2677.5</v>
      </c>
      <c r="G111" s="95">
        <f t="shared" si="2"/>
        <v>53550</v>
      </c>
    </row>
    <row r="112" spans="1:8" ht="12.75" customHeight="1" x14ac:dyDescent="0.25">
      <c r="A112" s="56"/>
      <c r="B112" s="138" t="s">
        <v>135</v>
      </c>
      <c r="C112" s="188" t="s">
        <v>157</v>
      </c>
      <c r="D112" s="146">
        <f>2/2</f>
        <v>1</v>
      </c>
      <c r="E112" s="161" t="s">
        <v>134</v>
      </c>
      <c r="F112" s="146">
        <f>56000*1.19</f>
        <v>66640</v>
      </c>
      <c r="G112" s="146">
        <f>F112*D112</f>
        <v>66640</v>
      </c>
      <c r="H112" s="192"/>
    </row>
    <row r="113" spans="1:7" ht="12.75" customHeight="1" x14ac:dyDescent="0.25">
      <c r="A113" s="56"/>
      <c r="B113" s="97"/>
      <c r="C113" s="92"/>
      <c r="D113" s="94"/>
      <c r="E113" s="92"/>
      <c r="F113" s="95"/>
      <c r="G113" s="95"/>
    </row>
    <row r="114" spans="1:7" ht="13.5" customHeight="1" x14ac:dyDescent="0.25">
      <c r="A114" s="56"/>
      <c r="B114" s="116" t="s">
        <v>30</v>
      </c>
      <c r="C114" s="117"/>
      <c r="D114" s="117"/>
      <c r="E114" s="117"/>
      <c r="F114" s="118"/>
      <c r="G114" s="125">
        <f>SUM(G58:G112)</f>
        <v>24618764.269841213</v>
      </c>
    </row>
    <row r="115" spans="1:7" ht="12" customHeight="1" x14ac:dyDescent="0.25">
      <c r="A115" s="2"/>
      <c r="B115" s="111"/>
      <c r="C115" s="112"/>
      <c r="D115" s="112"/>
      <c r="E115" s="113"/>
      <c r="F115" s="114"/>
      <c r="G115" s="115"/>
    </row>
    <row r="116" spans="1:7" ht="12" customHeight="1" x14ac:dyDescent="0.25">
      <c r="A116" s="5"/>
      <c r="B116" s="29" t="s">
        <v>31</v>
      </c>
      <c r="C116" s="30"/>
      <c r="D116" s="31"/>
      <c r="E116" s="31"/>
      <c r="F116" s="32"/>
      <c r="G116" s="101"/>
    </row>
    <row r="117" spans="1:7" ht="24" customHeight="1" x14ac:dyDescent="0.25">
      <c r="A117" s="5"/>
      <c r="B117" s="110" t="s">
        <v>32</v>
      </c>
      <c r="C117" s="93" t="s">
        <v>28</v>
      </c>
      <c r="D117" s="93" t="s">
        <v>29</v>
      </c>
      <c r="E117" s="110" t="s">
        <v>17</v>
      </c>
      <c r="F117" s="93" t="s">
        <v>18</v>
      </c>
      <c r="G117" s="110" t="s">
        <v>19</v>
      </c>
    </row>
    <row r="118" spans="1:7" ht="16.5" customHeight="1" x14ac:dyDescent="0.25">
      <c r="A118" s="56"/>
      <c r="B118" s="166" t="s">
        <v>131</v>
      </c>
      <c r="C118" s="166" t="s">
        <v>132</v>
      </c>
      <c r="D118" s="166">
        <v>6</v>
      </c>
      <c r="E118" s="166" t="s">
        <v>133</v>
      </c>
      <c r="F118" s="167">
        <v>100000</v>
      </c>
      <c r="G118" s="167">
        <f>F118*D118</f>
        <v>600000</v>
      </c>
    </row>
    <row r="119" spans="1:7" ht="13.5" customHeight="1" x14ac:dyDescent="0.25">
      <c r="A119" s="5"/>
      <c r="B119" s="147" t="s">
        <v>33</v>
      </c>
      <c r="C119" s="47"/>
      <c r="D119" s="47"/>
      <c r="E119" s="109"/>
      <c r="F119" s="48"/>
      <c r="G119" s="126">
        <f>SUM(G118)</f>
        <v>600000</v>
      </c>
    </row>
    <row r="120" spans="1:7" ht="12" customHeight="1" x14ac:dyDescent="0.25">
      <c r="A120" s="2"/>
      <c r="B120" s="59"/>
      <c r="C120" s="59"/>
      <c r="D120" s="59"/>
      <c r="E120" s="59"/>
      <c r="F120" s="60"/>
      <c r="G120" s="104"/>
    </row>
    <row r="121" spans="1:7" ht="12" customHeight="1" x14ac:dyDescent="0.25">
      <c r="A121" s="56"/>
      <c r="B121" s="61" t="s">
        <v>34</v>
      </c>
      <c r="C121" s="62"/>
      <c r="D121" s="62"/>
      <c r="E121" s="62"/>
      <c r="F121" s="62"/>
      <c r="G121" s="63">
        <f>G43+G48+G54+G114+G119</f>
        <v>45817739.269841209</v>
      </c>
    </row>
    <row r="122" spans="1:7" ht="12" customHeight="1" x14ac:dyDescent="0.25">
      <c r="A122" s="56"/>
      <c r="B122" s="64" t="s">
        <v>35</v>
      </c>
      <c r="C122" s="50"/>
      <c r="D122" s="50"/>
      <c r="E122" s="50"/>
      <c r="F122" s="50"/>
      <c r="G122" s="65">
        <f>G121*0.05</f>
        <v>2290886.9634920605</v>
      </c>
    </row>
    <row r="123" spans="1:7" ht="12" customHeight="1" x14ac:dyDescent="0.25">
      <c r="A123" s="56"/>
      <c r="B123" s="66" t="s">
        <v>36</v>
      </c>
      <c r="C123" s="49"/>
      <c r="D123" s="49"/>
      <c r="E123" s="49"/>
      <c r="F123" s="49"/>
      <c r="G123" s="67">
        <f>G122+G121</f>
        <v>48108626.233333267</v>
      </c>
    </row>
    <row r="124" spans="1:7" ht="12" customHeight="1" x14ac:dyDescent="0.25">
      <c r="A124" s="56"/>
      <c r="B124" s="64" t="s">
        <v>37</v>
      </c>
      <c r="C124" s="50"/>
      <c r="D124" s="50"/>
      <c r="E124" s="50"/>
      <c r="F124" s="50"/>
      <c r="G124" s="65">
        <f>G12</f>
        <v>62500000</v>
      </c>
    </row>
    <row r="125" spans="1:7" ht="12" customHeight="1" x14ac:dyDescent="0.25">
      <c r="A125" s="56"/>
      <c r="B125" s="68" t="s">
        <v>38</v>
      </c>
      <c r="C125" s="69"/>
      <c r="D125" s="69"/>
      <c r="E125" s="69"/>
      <c r="F125" s="69"/>
      <c r="G125" s="63">
        <f>G124-G123</f>
        <v>14391373.766666733</v>
      </c>
    </row>
    <row r="126" spans="1:7" ht="12" customHeight="1" x14ac:dyDescent="0.25">
      <c r="A126" s="56"/>
      <c r="B126" s="57" t="s">
        <v>39</v>
      </c>
      <c r="C126" s="58"/>
      <c r="D126" s="58"/>
      <c r="E126" s="58"/>
      <c r="F126" s="58"/>
      <c r="G126" s="105"/>
    </row>
    <row r="127" spans="1:7" ht="12.75" customHeight="1" thickBot="1" x14ac:dyDescent="0.3">
      <c r="A127" s="56"/>
      <c r="B127" s="70"/>
      <c r="C127" s="58"/>
      <c r="D127" s="58"/>
      <c r="E127" s="58"/>
      <c r="F127" s="58"/>
      <c r="G127" s="105"/>
    </row>
    <row r="128" spans="1:7" ht="12" customHeight="1" x14ac:dyDescent="0.25">
      <c r="A128" s="56"/>
      <c r="B128" s="79" t="s">
        <v>40</v>
      </c>
      <c r="C128" s="80"/>
      <c r="D128" s="80"/>
      <c r="E128" s="80"/>
      <c r="F128" s="81"/>
      <c r="G128" s="105"/>
    </row>
    <row r="129" spans="1:8" ht="12" customHeight="1" x14ac:dyDescent="0.25">
      <c r="A129" s="56"/>
      <c r="B129" s="82" t="s">
        <v>41</v>
      </c>
      <c r="C129" s="55"/>
      <c r="D129" s="55"/>
      <c r="E129" s="55"/>
      <c r="F129" s="83"/>
      <c r="G129" s="105"/>
    </row>
    <row r="130" spans="1:8" ht="12" customHeight="1" x14ac:dyDescent="0.25">
      <c r="A130" s="56"/>
      <c r="B130" s="82" t="s">
        <v>42</v>
      </c>
      <c r="C130" s="55"/>
      <c r="D130" s="55"/>
      <c r="E130" s="55"/>
      <c r="F130" s="83"/>
      <c r="G130" s="105"/>
    </row>
    <row r="131" spans="1:8" ht="12" customHeight="1" x14ac:dyDescent="0.25">
      <c r="A131" s="56"/>
      <c r="B131" s="82" t="s">
        <v>43</v>
      </c>
      <c r="C131" s="55"/>
      <c r="D131" s="55"/>
      <c r="E131" s="55"/>
      <c r="F131" s="83"/>
      <c r="G131" s="105"/>
    </row>
    <row r="132" spans="1:8" ht="12" customHeight="1" x14ac:dyDescent="0.25">
      <c r="A132" s="56"/>
      <c r="B132" s="82" t="s">
        <v>44</v>
      </c>
      <c r="C132" s="55"/>
      <c r="D132" s="55"/>
      <c r="E132" s="55"/>
      <c r="F132" s="83"/>
      <c r="G132" s="105"/>
    </row>
    <row r="133" spans="1:8" ht="12" customHeight="1" x14ac:dyDescent="0.25">
      <c r="A133" s="56"/>
      <c r="B133" s="82" t="s">
        <v>45</v>
      </c>
      <c r="C133" s="55"/>
      <c r="D133" s="55"/>
      <c r="E133" s="55"/>
      <c r="F133" s="83"/>
      <c r="G133" s="105"/>
    </row>
    <row r="134" spans="1:8" ht="12.75" customHeight="1" thickBot="1" x14ac:dyDescent="0.3">
      <c r="A134" s="56"/>
      <c r="B134" s="84" t="s">
        <v>46</v>
      </c>
      <c r="C134" s="85"/>
      <c r="D134" s="85"/>
      <c r="E134" s="85"/>
      <c r="F134" s="86"/>
      <c r="G134" s="105"/>
    </row>
    <row r="135" spans="1:8" ht="12.75" customHeight="1" thickBot="1" x14ac:dyDescent="0.3">
      <c r="A135" s="56"/>
      <c r="B135" s="77"/>
      <c r="C135" s="55"/>
      <c r="D135" s="55"/>
      <c r="E135" s="55"/>
      <c r="F135" s="55"/>
      <c r="G135" s="105"/>
    </row>
    <row r="136" spans="1:8" ht="15" customHeight="1" thickBot="1" x14ac:dyDescent="0.3">
      <c r="A136" s="56"/>
      <c r="B136" s="362" t="s">
        <v>47</v>
      </c>
      <c r="C136" s="363"/>
      <c r="D136" s="194"/>
      <c r="E136" s="51"/>
      <c r="F136" s="51"/>
      <c r="G136" s="105"/>
      <c r="H136" s="196"/>
    </row>
    <row r="137" spans="1:8" ht="12" customHeight="1" x14ac:dyDescent="0.25">
      <c r="A137" s="56"/>
      <c r="B137" s="72" t="s">
        <v>32</v>
      </c>
      <c r="C137" s="127" t="s">
        <v>48</v>
      </c>
      <c r="D137" s="128" t="s">
        <v>49</v>
      </c>
      <c r="F137" s="364"/>
      <c r="G137" s="364"/>
      <c r="H137" s="364"/>
    </row>
    <row r="138" spans="1:8" ht="12" customHeight="1" x14ac:dyDescent="0.25">
      <c r="A138" s="56"/>
      <c r="B138" s="73" t="s">
        <v>50</v>
      </c>
      <c r="C138" s="52">
        <f>G43</f>
        <v>19215000</v>
      </c>
      <c r="D138" s="195">
        <f>(C138/C144)</f>
        <v>0.3994086197100013</v>
      </c>
      <c r="F138" s="206"/>
      <c r="G138" s="207"/>
      <c r="H138" s="208"/>
    </row>
    <row r="139" spans="1:8" ht="12" customHeight="1" x14ac:dyDescent="0.25">
      <c r="A139" s="56"/>
      <c r="B139" s="73" t="s">
        <v>51</v>
      </c>
      <c r="C139" s="52">
        <f>G48</f>
        <v>0</v>
      </c>
      <c r="D139" s="195">
        <v>0</v>
      </c>
      <c r="F139" s="206"/>
      <c r="G139" s="207"/>
      <c r="H139" s="208"/>
    </row>
    <row r="140" spans="1:8" ht="12" customHeight="1" x14ac:dyDescent="0.25">
      <c r="A140" s="56"/>
      <c r="B140" s="73" t="s">
        <v>52</v>
      </c>
      <c r="C140" s="52">
        <f>G54</f>
        <v>1383975</v>
      </c>
      <c r="D140" s="195">
        <f>(C140/C144)</f>
        <v>2.8767709834147753E-2</v>
      </c>
      <c r="F140" s="206"/>
      <c r="G140" s="207"/>
      <c r="H140" s="208"/>
    </row>
    <row r="141" spans="1:8" ht="12" customHeight="1" x14ac:dyDescent="0.25">
      <c r="A141" s="56"/>
      <c r="B141" s="73" t="s">
        <v>27</v>
      </c>
      <c r="C141" s="52">
        <f>G114</f>
        <v>24618764.269841213</v>
      </c>
      <c r="D141" s="195">
        <f>(C141/C144)</f>
        <v>0.51173284704570265</v>
      </c>
      <c r="F141" s="206"/>
      <c r="G141" s="209"/>
      <c r="H141" s="208"/>
    </row>
    <row r="142" spans="1:8" ht="12" customHeight="1" x14ac:dyDescent="0.25">
      <c r="A142" s="56"/>
      <c r="B142" s="73" t="s">
        <v>53</v>
      </c>
      <c r="C142" s="53">
        <f>G119</f>
        <v>600000</v>
      </c>
      <c r="D142" s="195">
        <f>(C142/C144)</f>
        <v>1.2471775791100743E-2</v>
      </c>
      <c r="F142" s="210"/>
      <c r="G142" s="209"/>
      <c r="H142" s="208"/>
    </row>
    <row r="143" spans="1:8" ht="12" customHeight="1" x14ac:dyDescent="0.25">
      <c r="A143" s="56"/>
      <c r="B143" s="73" t="s">
        <v>54</v>
      </c>
      <c r="C143" s="53">
        <f>G122</f>
        <v>2290886.9634920605</v>
      </c>
      <c r="D143" s="195">
        <f>(C143/C144)</f>
        <v>4.7619047619047623E-2</v>
      </c>
      <c r="F143" s="206"/>
      <c r="G143" s="209"/>
      <c r="H143" s="208"/>
    </row>
    <row r="144" spans="1:8" ht="12.75" customHeight="1" thickBot="1" x14ac:dyDescent="0.3">
      <c r="A144" s="56"/>
      <c r="B144" s="74" t="s">
        <v>55</v>
      </c>
      <c r="C144" s="75">
        <f>SUM(C138:C143)</f>
        <v>48108626.233333267</v>
      </c>
      <c r="D144" s="76">
        <f>SUM(D138:D143)</f>
        <v>1</v>
      </c>
      <c r="F144" s="205"/>
      <c r="G144" s="211"/>
      <c r="H144" s="208"/>
    </row>
    <row r="145" spans="1:8" ht="12" customHeight="1" x14ac:dyDescent="0.25">
      <c r="A145" s="56"/>
      <c r="B145" s="70"/>
      <c r="C145" s="58"/>
      <c r="D145" s="58"/>
      <c r="E145" s="58"/>
      <c r="F145" s="58"/>
      <c r="G145" s="105"/>
      <c r="H145" s="196"/>
    </row>
    <row r="146" spans="1:8" ht="12.75" customHeight="1" thickBot="1" x14ac:dyDescent="0.3">
      <c r="A146" s="56"/>
      <c r="B146" s="71"/>
      <c r="C146" s="58"/>
      <c r="D146" s="58"/>
      <c r="E146" s="58"/>
      <c r="F146" s="58"/>
      <c r="G146" s="105"/>
    </row>
    <row r="147" spans="1:8" ht="12" customHeight="1" thickBot="1" x14ac:dyDescent="0.3">
      <c r="A147" s="56"/>
      <c r="B147" s="359" t="s">
        <v>139</v>
      </c>
      <c r="C147" s="360"/>
      <c r="D147" s="360"/>
      <c r="E147" s="361"/>
      <c r="F147" s="54"/>
      <c r="G147" s="105"/>
    </row>
    <row r="148" spans="1:8" ht="12" customHeight="1" x14ac:dyDescent="0.25">
      <c r="A148" s="56"/>
      <c r="B148" s="88" t="s">
        <v>136</v>
      </c>
      <c r="C148" s="119">
        <v>110000</v>
      </c>
      <c r="D148" s="119">
        <f>G9</f>
        <v>125000</v>
      </c>
      <c r="E148" s="119">
        <v>135000</v>
      </c>
      <c r="F148" s="87"/>
      <c r="G148" s="106"/>
    </row>
    <row r="149" spans="1:8" ht="12.75" customHeight="1" thickBot="1" x14ac:dyDescent="0.3">
      <c r="A149" s="56"/>
      <c r="B149" s="74" t="s">
        <v>137</v>
      </c>
      <c r="C149" s="187">
        <f>G123/C148</f>
        <v>437.35114757575695</v>
      </c>
      <c r="D149" s="75">
        <f>(G123/D148)</f>
        <v>384.86900986666615</v>
      </c>
      <c r="E149" s="89">
        <f>(G123/E148)</f>
        <v>356.36019432098715</v>
      </c>
      <c r="F149" s="87"/>
      <c r="G149" s="106"/>
    </row>
    <row r="150" spans="1:8" ht="15.6" customHeight="1" x14ac:dyDescent="0.25">
      <c r="A150" s="56"/>
      <c r="B150" s="78" t="s">
        <v>56</v>
      </c>
      <c r="C150" s="55"/>
      <c r="D150" s="55"/>
      <c r="E150" s="55"/>
      <c r="F150" s="55"/>
      <c r="G150" s="107"/>
    </row>
  </sheetData>
  <mergeCells count="10">
    <mergeCell ref="B17:G17"/>
    <mergeCell ref="B136:C136"/>
    <mergeCell ref="F137:H137"/>
    <mergeCell ref="B147:E147"/>
    <mergeCell ref="E9:F9"/>
    <mergeCell ref="E10:F10"/>
    <mergeCell ref="E11:F11"/>
    <mergeCell ref="E13:F13"/>
    <mergeCell ref="E14:F14"/>
    <mergeCell ref="E15:F15"/>
  </mergeCells>
  <pageMargins left="0.25" right="0.25" top="0.14000000000000001" bottom="1.24" header="0.12" footer="1.22"/>
  <pageSetup paperSize="5" fitToHeight="0" orientation="portrait" r:id="rId1"/>
  <headerFooter>
    <oddFooter>&amp;C&amp;"Helvetica Neue,Regular"&amp;12&amp;K000000&amp;P</oddFooter>
  </headerFooter>
  <rowBreaks count="2" manualBreakCount="2">
    <brk id="55" min="1" max="6" man="1"/>
    <brk id="113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L134"/>
  <sheetViews>
    <sheetView showGridLines="0" view="pageBreakPreview" zoomScale="85" zoomScaleNormal="100" zoomScaleSheetLayoutView="85" workbookViewId="0">
      <selection activeCell="B59" sqref="B59"/>
    </sheetView>
  </sheetViews>
  <sheetFormatPr baseColWidth="10" defaultColWidth="10.85546875" defaultRowHeight="11.25" customHeight="1" x14ac:dyDescent="0.25"/>
  <cols>
    <col min="1" max="1" width="10.85546875" style="307"/>
    <col min="2" max="2" width="39.5703125" style="298" customWidth="1"/>
    <col min="3" max="3" width="52" style="302" customWidth="1"/>
    <col min="4" max="4" width="24.28515625" style="298" customWidth="1"/>
    <col min="5" max="5" width="26" style="310" customWidth="1"/>
    <col min="6" max="6" width="18.7109375" style="298" customWidth="1"/>
    <col min="7" max="7" width="17.140625" style="308" customWidth="1"/>
    <col min="8" max="8" width="15.42578125" style="298" customWidth="1"/>
    <col min="9" max="220" width="10.85546875" style="298" customWidth="1"/>
    <col min="221" max="16384" width="10.85546875" style="307"/>
  </cols>
  <sheetData>
    <row r="2" spans="2:220" ht="30" customHeight="1" x14ac:dyDescent="0.2">
      <c r="B2" s="343" t="s">
        <v>0</v>
      </c>
      <c r="C2" s="303" t="s">
        <v>63</v>
      </c>
      <c r="E2" s="307"/>
      <c r="F2" s="307"/>
      <c r="G2" s="307"/>
    </row>
    <row r="3" spans="2:220" ht="30" customHeight="1" x14ac:dyDescent="0.2">
      <c r="B3" s="343" t="s">
        <v>1</v>
      </c>
      <c r="C3" s="344" t="s">
        <v>201</v>
      </c>
      <c r="E3" s="307"/>
      <c r="F3" s="307"/>
      <c r="G3" s="307"/>
    </row>
    <row r="4" spans="2:220" ht="30" customHeight="1" x14ac:dyDescent="0.2">
      <c r="B4" s="343" t="s">
        <v>65</v>
      </c>
      <c r="C4" s="345">
        <v>130000</v>
      </c>
      <c r="D4" s="307"/>
      <c r="E4" s="307"/>
      <c r="F4" s="307"/>
      <c r="G4" s="307"/>
    </row>
    <row r="5" spans="2:220" ht="30" customHeight="1" x14ac:dyDescent="0.25">
      <c r="B5" s="343" t="s">
        <v>159</v>
      </c>
      <c r="C5" s="345">
        <f>'TOMATE INVERNADERO'!G11</f>
        <v>527</v>
      </c>
      <c r="D5" s="307"/>
    </row>
    <row r="6" spans="2:220" s="320" customFormat="1" ht="30" customHeight="1" x14ac:dyDescent="0.25">
      <c r="B6" s="346" t="s">
        <v>5</v>
      </c>
      <c r="C6" s="347">
        <f>'TOMATE INVERNADERO'!G12</f>
        <v>68510000</v>
      </c>
      <c r="E6" s="321"/>
      <c r="F6" s="322"/>
      <c r="G6" s="323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  <c r="BY6" s="322"/>
      <c r="BZ6" s="322"/>
      <c r="CA6" s="322"/>
      <c r="CB6" s="322"/>
      <c r="CC6" s="322"/>
      <c r="CD6" s="322"/>
      <c r="CE6" s="322"/>
      <c r="CF6" s="322"/>
      <c r="CG6" s="322"/>
      <c r="CH6" s="322"/>
      <c r="CI6" s="322"/>
      <c r="CJ6" s="322"/>
      <c r="CK6" s="322"/>
      <c r="CL6" s="322"/>
      <c r="CM6" s="322"/>
      <c r="CN6" s="322"/>
      <c r="CO6" s="322"/>
      <c r="CP6" s="322"/>
      <c r="CQ6" s="322"/>
      <c r="CR6" s="322"/>
      <c r="CS6" s="322"/>
      <c r="CT6" s="322"/>
      <c r="CU6" s="322"/>
      <c r="CV6" s="322"/>
      <c r="CW6" s="322"/>
      <c r="CX6" s="322"/>
      <c r="CY6" s="322"/>
      <c r="CZ6" s="322"/>
      <c r="DA6" s="322"/>
      <c r="DB6" s="322"/>
      <c r="DC6" s="322"/>
      <c r="DD6" s="322"/>
      <c r="DE6" s="322"/>
      <c r="DF6" s="322"/>
      <c r="DG6" s="322"/>
      <c r="DH6" s="322"/>
      <c r="DI6" s="322"/>
      <c r="DJ6" s="322"/>
      <c r="DK6" s="322"/>
      <c r="DL6" s="322"/>
      <c r="DM6" s="322"/>
      <c r="DN6" s="322"/>
      <c r="DO6" s="322"/>
      <c r="DP6" s="322"/>
      <c r="DQ6" s="322"/>
      <c r="DR6" s="322"/>
      <c r="DS6" s="322"/>
      <c r="DT6" s="322"/>
      <c r="DU6" s="322"/>
      <c r="DV6" s="322"/>
      <c r="DW6" s="322"/>
      <c r="DX6" s="322"/>
      <c r="DY6" s="322"/>
      <c r="DZ6" s="322"/>
      <c r="EA6" s="322"/>
      <c r="EB6" s="322"/>
      <c r="EC6" s="322"/>
      <c r="ED6" s="322"/>
      <c r="EE6" s="322"/>
      <c r="EF6" s="322"/>
      <c r="EG6" s="322"/>
      <c r="EH6" s="322"/>
      <c r="EI6" s="322"/>
      <c r="EJ6" s="322"/>
      <c r="EK6" s="322"/>
      <c r="EL6" s="322"/>
      <c r="EM6" s="322"/>
      <c r="EN6" s="322"/>
      <c r="EO6" s="322"/>
      <c r="EP6" s="322"/>
      <c r="EQ6" s="322"/>
      <c r="ER6" s="322"/>
      <c r="ES6" s="322"/>
      <c r="ET6" s="322"/>
      <c r="EU6" s="322"/>
      <c r="EV6" s="322"/>
      <c r="EW6" s="322"/>
      <c r="EX6" s="322"/>
      <c r="EY6" s="322"/>
      <c r="EZ6" s="322"/>
      <c r="FA6" s="322"/>
      <c r="FB6" s="322"/>
      <c r="FC6" s="322"/>
      <c r="FD6" s="322"/>
      <c r="FE6" s="322"/>
      <c r="FF6" s="322"/>
      <c r="FG6" s="322"/>
      <c r="FH6" s="322"/>
      <c r="FI6" s="322"/>
      <c r="FJ6" s="322"/>
      <c r="FK6" s="322"/>
      <c r="FL6" s="322"/>
      <c r="FM6" s="322"/>
      <c r="FN6" s="322"/>
      <c r="FO6" s="322"/>
      <c r="FP6" s="322"/>
      <c r="FQ6" s="322"/>
      <c r="FR6" s="322"/>
      <c r="FS6" s="322"/>
      <c r="FT6" s="322"/>
      <c r="FU6" s="322"/>
      <c r="FV6" s="322"/>
      <c r="FW6" s="322"/>
      <c r="FX6" s="322"/>
      <c r="FY6" s="322"/>
      <c r="FZ6" s="322"/>
      <c r="GA6" s="322"/>
      <c r="GB6" s="322"/>
      <c r="GC6" s="322"/>
      <c r="GD6" s="322"/>
      <c r="GE6" s="322"/>
      <c r="GF6" s="322"/>
      <c r="GG6" s="322"/>
      <c r="GH6" s="322"/>
      <c r="GI6" s="322"/>
      <c r="GJ6" s="322"/>
      <c r="GK6" s="322"/>
      <c r="GL6" s="322"/>
      <c r="GM6" s="322"/>
      <c r="GN6" s="322"/>
      <c r="GO6" s="322"/>
      <c r="GP6" s="322"/>
      <c r="GQ6" s="322"/>
      <c r="GR6" s="322"/>
      <c r="GS6" s="322"/>
      <c r="GT6" s="322"/>
      <c r="GU6" s="322"/>
      <c r="GV6" s="322"/>
      <c r="GW6" s="322"/>
      <c r="GX6" s="322"/>
      <c r="GY6" s="322"/>
      <c r="GZ6" s="322"/>
      <c r="HA6" s="322"/>
      <c r="HB6" s="322"/>
      <c r="HC6" s="322"/>
      <c r="HD6" s="322"/>
      <c r="HE6" s="322"/>
      <c r="HF6" s="322"/>
      <c r="HG6" s="322"/>
      <c r="HH6" s="322"/>
      <c r="HI6" s="322"/>
      <c r="HJ6" s="322"/>
      <c r="HK6" s="322"/>
      <c r="HL6" s="322"/>
    </row>
    <row r="7" spans="2:220" s="320" customFormat="1" ht="30" customHeight="1" x14ac:dyDescent="0.25">
      <c r="B7" s="319"/>
      <c r="C7" s="324"/>
      <c r="E7" s="321"/>
      <c r="F7" s="322"/>
      <c r="G7" s="323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  <c r="BY7" s="322"/>
      <c r="BZ7" s="322"/>
      <c r="CA7" s="322"/>
      <c r="CB7" s="322"/>
      <c r="CC7" s="322"/>
      <c r="CD7" s="322"/>
      <c r="CE7" s="322"/>
      <c r="CF7" s="322"/>
      <c r="CG7" s="322"/>
      <c r="CH7" s="322"/>
      <c r="CI7" s="322"/>
      <c r="CJ7" s="322"/>
      <c r="CK7" s="322"/>
      <c r="CL7" s="322"/>
      <c r="CM7" s="322"/>
      <c r="CN7" s="322"/>
      <c r="CO7" s="322"/>
      <c r="CP7" s="322"/>
      <c r="CQ7" s="322"/>
      <c r="CR7" s="322"/>
      <c r="CS7" s="322"/>
      <c r="CT7" s="322"/>
      <c r="CU7" s="322"/>
      <c r="CV7" s="322"/>
      <c r="CW7" s="322"/>
      <c r="CX7" s="322"/>
      <c r="CY7" s="322"/>
      <c r="CZ7" s="322"/>
      <c r="DA7" s="322"/>
      <c r="DB7" s="322"/>
      <c r="DC7" s="322"/>
      <c r="DD7" s="322"/>
      <c r="DE7" s="322"/>
      <c r="DF7" s="322"/>
      <c r="DG7" s="322"/>
      <c r="DH7" s="322"/>
      <c r="DI7" s="322"/>
      <c r="DJ7" s="322"/>
      <c r="DK7" s="322"/>
      <c r="DL7" s="322"/>
      <c r="DM7" s="322"/>
      <c r="DN7" s="322"/>
      <c r="DO7" s="322"/>
      <c r="DP7" s="322"/>
      <c r="DQ7" s="322"/>
      <c r="DR7" s="322"/>
      <c r="DS7" s="322"/>
      <c r="DT7" s="322"/>
      <c r="DU7" s="322"/>
      <c r="DV7" s="322"/>
      <c r="DW7" s="322"/>
      <c r="DX7" s="322"/>
      <c r="DY7" s="322"/>
      <c r="DZ7" s="322"/>
      <c r="EA7" s="322"/>
      <c r="EB7" s="322"/>
      <c r="EC7" s="322"/>
      <c r="ED7" s="322"/>
      <c r="EE7" s="322"/>
      <c r="EF7" s="322"/>
      <c r="EG7" s="322"/>
      <c r="EH7" s="322"/>
      <c r="EI7" s="322"/>
      <c r="EJ7" s="322"/>
      <c r="EK7" s="322"/>
      <c r="EL7" s="322"/>
      <c r="EM7" s="322"/>
      <c r="EN7" s="322"/>
      <c r="EO7" s="322"/>
      <c r="EP7" s="322"/>
      <c r="EQ7" s="322"/>
      <c r="ER7" s="322"/>
      <c r="ES7" s="322"/>
      <c r="ET7" s="322"/>
      <c r="EU7" s="322"/>
      <c r="EV7" s="322"/>
      <c r="EW7" s="322"/>
      <c r="EX7" s="322"/>
      <c r="EY7" s="322"/>
      <c r="EZ7" s="322"/>
      <c r="FA7" s="322"/>
      <c r="FB7" s="322"/>
      <c r="FC7" s="322"/>
      <c r="FD7" s="322"/>
      <c r="FE7" s="322"/>
      <c r="FF7" s="322"/>
      <c r="FG7" s="322"/>
      <c r="FH7" s="322"/>
      <c r="FI7" s="322"/>
      <c r="FJ7" s="322"/>
      <c r="FK7" s="322"/>
      <c r="FL7" s="322"/>
      <c r="FM7" s="322"/>
      <c r="FN7" s="322"/>
      <c r="FO7" s="322"/>
      <c r="FP7" s="322"/>
      <c r="FQ7" s="322"/>
      <c r="FR7" s="322"/>
      <c r="FS7" s="322"/>
      <c r="FT7" s="322"/>
      <c r="FU7" s="322"/>
      <c r="FV7" s="322"/>
      <c r="FW7" s="322"/>
      <c r="FX7" s="322"/>
      <c r="FY7" s="322"/>
      <c r="FZ7" s="322"/>
      <c r="GA7" s="322"/>
      <c r="GB7" s="322"/>
      <c r="GC7" s="322"/>
      <c r="GD7" s="322"/>
      <c r="GE7" s="322"/>
      <c r="GF7" s="322"/>
      <c r="GG7" s="322"/>
      <c r="GH7" s="322"/>
      <c r="GI7" s="322"/>
      <c r="GJ7" s="322"/>
      <c r="GK7" s="322"/>
      <c r="GL7" s="322"/>
      <c r="GM7" s="322"/>
      <c r="GN7" s="322"/>
      <c r="GO7" s="322"/>
      <c r="GP7" s="322"/>
      <c r="GQ7" s="322"/>
      <c r="GR7" s="322"/>
      <c r="GS7" s="322"/>
      <c r="GT7" s="322"/>
      <c r="GU7" s="322"/>
      <c r="GV7" s="322"/>
      <c r="GW7" s="322"/>
      <c r="GX7" s="322"/>
      <c r="GY7" s="322"/>
      <c r="GZ7" s="322"/>
      <c r="HA7" s="322"/>
      <c r="HB7" s="322"/>
      <c r="HC7" s="322"/>
      <c r="HD7" s="322"/>
      <c r="HE7" s="322"/>
      <c r="HF7" s="322"/>
      <c r="HG7" s="322"/>
      <c r="HH7" s="322"/>
      <c r="HI7" s="322"/>
      <c r="HJ7" s="322"/>
      <c r="HK7" s="322"/>
      <c r="HL7" s="322"/>
    </row>
    <row r="8" spans="2:220" s="320" customFormat="1" ht="30" customHeight="1" thickBot="1" x14ac:dyDescent="0.3">
      <c r="B8" s="319"/>
      <c r="C8" s="324"/>
      <c r="E8" s="321"/>
      <c r="F8" s="322"/>
      <c r="G8" s="323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2"/>
      <c r="CK8" s="322"/>
      <c r="CL8" s="322"/>
      <c r="CM8" s="322"/>
      <c r="CN8" s="322"/>
      <c r="CO8" s="322"/>
      <c r="CP8" s="322"/>
      <c r="CQ8" s="322"/>
      <c r="CR8" s="322"/>
      <c r="CS8" s="322"/>
      <c r="CT8" s="322"/>
      <c r="CU8" s="322"/>
      <c r="CV8" s="322"/>
      <c r="CW8" s="322"/>
      <c r="CX8" s="322"/>
      <c r="CY8" s="322"/>
      <c r="CZ8" s="322"/>
      <c r="DA8" s="322"/>
      <c r="DB8" s="322"/>
      <c r="DC8" s="322"/>
      <c r="DD8" s="322"/>
      <c r="DE8" s="322"/>
      <c r="DF8" s="322"/>
      <c r="DG8" s="322"/>
      <c r="DH8" s="322"/>
      <c r="DI8" s="322"/>
      <c r="DJ8" s="322"/>
      <c r="DK8" s="322"/>
      <c r="DL8" s="322"/>
      <c r="DM8" s="322"/>
      <c r="DN8" s="322"/>
      <c r="DO8" s="322"/>
      <c r="DP8" s="322"/>
      <c r="DQ8" s="322"/>
      <c r="DR8" s="322"/>
      <c r="DS8" s="322"/>
      <c r="DT8" s="322"/>
      <c r="DU8" s="322"/>
      <c r="DV8" s="322"/>
      <c r="DW8" s="322"/>
      <c r="DX8" s="322"/>
      <c r="DY8" s="322"/>
      <c r="DZ8" s="322"/>
      <c r="EA8" s="322"/>
      <c r="EB8" s="322"/>
      <c r="EC8" s="322"/>
      <c r="ED8" s="322"/>
      <c r="EE8" s="322"/>
      <c r="EF8" s="322"/>
      <c r="EG8" s="322"/>
      <c r="EH8" s="322"/>
      <c r="EI8" s="322"/>
      <c r="EJ8" s="322"/>
      <c r="EK8" s="322"/>
      <c r="EL8" s="322"/>
      <c r="EM8" s="322"/>
      <c r="EN8" s="322"/>
      <c r="EO8" s="322"/>
      <c r="EP8" s="322"/>
      <c r="EQ8" s="322"/>
      <c r="ER8" s="322"/>
      <c r="ES8" s="322"/>
      <c r="ET8" s="322"/>
      <c r="EU8" s="322"/>
      <c r="EV8" s="322"/>
      <c r="EW8" s="322"/>
      <c r="EX8" s="322"/>
      <c r="EY8" s="322"/>
      <c r="EZ8" s="322"/>
      <c r="FA8" s="322"/>
      <c r="FB8" s="322"/>
      <c r="FC8" s="322"/>
      <c r="FD8" s="322"/>
      <c r="FE8" s="322"/>
      <c r="FF8" s="322"/>
      <c r="FG8" s="322"/>
      <c r="FH8" s="322"/>
      <c r="FI8" s="322"/>
      <c r="FJ8" s="322"/>
      <c r="FK8" s="322"/>
      <c r="FL8" s="322"/>
      <c r="FM8" s="322"/>
      <c r="FN8" s="322"/>
      <c r="FO8" s="322"/>
      <c r="FP8" s="322"/>
      <c r="FQ8" s="322"/>
      <c r="FR8" s="322"/>
      <c r="FS8" s="322"/>
      <c r="FT8" s="322"/>
      <c r="FU8" s="322"/>
      <c r="FV8" s="322"/>
      <c r="FW8" s="322"/>
      <c r="FX8" s="322"/>
      <c r="FY8" s="322"/>
      <c r="FZ8" s="322"/>
      <c r="GA8" s="322"/>
      <c r="GB8" s="322"/>
      <c r="GC8" s="322"/>
      <c r="GD8" s="322"/>
      <c r="GE8" s="322"/>
      <c r="GF8" s="322"/>
      <c r="GG8" s="322"/>
      <c r="GH8" s="322"/>
      <c r="GI8" s="322"/>
      <c r="GJ8" s="322"/>
      <c r="GK8" s="322"/>
      <c r="GL8" s="322"/>
      <c r="GM8" s="322"/>
      <c r="GN8" s="322"/>
      <c r="GO8" s="322"/>
      <c r="GP8" s="322"/>
      <c r="GQ8" s="322"/>
      <c r="GR8" s="322"/>
      <c r="GS8" s="322"/>
      <c r="GT8" s="322"/>
      <c r="GU8" s="322"/>
      <c r="GV8" s="322"/>
      <c r="GW8" s="322"/>
      <c r="GX8" s="322"/>
      <c r="GY8" s="322"/>
      <c r="GZ8" s="322"/>
      <c r="HA8" s="322"/>
      <c r="HB8" s="322"/>
      <c r="HC8" s="322"/>
      <c r="HD8" s="322"/>
      <c r="HE8" s="322"/>
      <c r="HF8" s="322"/>
      <c r="HG8" s="322"/>
      <c r="HH8" s="322"/>
      <c r="HI8" s="322"/>
      <c r="HJ8" s="322"/>
      <c r="HK8" s="322"/>
      <c r="HL8" s="322"/>
    </row>
    <row r="9" spans="2:220" s="320" customFormat="1" ht="30" customHeight="1" x14ac:dyDescent="0.2">
      <c r="B9" s="371" t="s">
        <v>209</v>
      </c>
      <c r="C9" s="325" t="s">
        <v>205</v>
      </c>
      <c r="D9" s="326">
        <v>450000</v>
      </c>
      <c r="E9" s="377">
        <f>SUM('TOMATE INVERNADERO'!G22:G42)</f>
        <v>19215000</v>
      </c>
      <c r="F9" s="322"/>
      <c r="G9" s="323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  <c r="BY9" s="322"/>
      <c r="BZ9" s="322"/>
      <c r="CA9" s="322"/>
      <c r="CB9" s="322"/>
      <c r="CC9" s="322"/>
      <c r="CD9" s="322"/>
      <c r="CE9" s="322"/>
      <c r="CF9" s="322"/>
      <c r="CG9" s="322"/>
      <c r="CH9" s="322"/>
      <c r="CI9" s="322"/>
      <c r="CJ9" s="322"/>
      <c r="CK9" s="322"/>
      <c r="CL9" s="322"/>
      <c r="CM9" s="322"/>
      <c r="CN9" s="322"/>
      <c r="CO9" s="322"/>
      <c r="CP9" s="322"/>
      <c r="CQ9" s="322"/>
      <c r="CR9" s="322"/>
      <c r="CS9" s="322"/>
      <c r="CT9" s="322"/>
      <c r="CU9" s="322"/>
      <c r="CV9" s="322"/>
      <c r="CW9" s="322"/>
      <c r="CX9" s="322"/>
      <c r="CY9" s="322"/>
      <c r="CZ9" s="322"/>
      <c r="DA9" s="322"/>
      <c r="DB9" s="322"/>
      <c r="DC9" s="322"/>
      <c r="DD9" s="322"/>
      <c r="DE9" s="322"/>
      <c r="DF9" s="322"/>
      <c r="DG9" s="322"/>
      <c r="DH9" s="322"/>
      <c r="DI9" s="322"/>
      <c r="DJ9" s="322"/>
      <c r="DK9" s="322"/>
      <c r="DL9" s="322"/>
      <c r="DM9" s="322"/>
      <c r="DN9" s="322"/>
      <c r="DO9" s="322"/>
      <c r="DP9" s="322"/>
      <c r="DQ9" s="322"/>
      <c r="DR9" s="322"/>
      <c r="DS9" s="322"/>
      <c r="DT9" s="322"/>
      <c r="DU9" s="322"/>
      <c r="DV9" s="322"/>
      <c r="DW9" s="322"/>
      <c r="DX9" s="322"/>
      <c r="DY9" s="322"/>
      <c r="DZ9" s="322"/>
      <c r="EA9" s="322"/>
      <c r="EB9" s="322"/>
      <c r="EC9" s="322"/>
      <c r="ED9" s="322"/>
      <c r="EE9" s="322"/>
      <c r="EF9" s="322"/>
      <c r="EG9" s="322"/>
      <c r="EH9" s="322"/>
      <c r="EI9" s="322"/>
      <c r="EJ9" s="322"/>
      <c r="EK9" s="322"/>
      <c r="EL9" s="322"/>
      <c r="EM9" s="322"/>
      <c r="EN9" s="322"/>
      <c r="EO9" s="322"/>
      <c r="EP9" s="322"/>
      <c r="EQ9" s="322"/>
      <c r="ER9" s="322"/>
      <c r="ES9" s="322"/>
      <c r="ET9" s="322"/>
      <c r="EU9" s="322"/>
      <c r="EV9" s="322"/>
      <c r="EW9" s="322"/>
      <c r="EX9" s="322"/>
      <c r="EY9" s="322"/>
      <c r="EZ9" s="322"/>
      <c r="FA9" s="322"/>
      <c r="FB9" s="322"/>
      <c r="FC9" s="322"/>
      <c r="FD9" s="322"/>
      <c r="FE9" s="322"/>
      <c r="FF9" s="322"/>
      <c r="FG9" s="322"/>
      <c r="FH9" s="322"/>
      <c r="FI9" s="322"/>
      <c r="FJ9" s="322"/>
      <c r="FK9" s="322"/>
      <c r="FL9" s="322"/>
      <c r="FM9" s="322"/>
      <c r="FN9" s="322"/>
      <c r="FO9" s="322"/>
      <c r="FP9" s="322"/>
      <c r="FQ9" s="322"/>
      <c r="FR9" s="322"/>
      <c r="FS9" s="322"/>
      <c r="FT9" s="322"/>
      <c r="FU9" s="322"/>
      <c r="FV9" s="322"/>
      <c r="FW9" s="322"/>
      <c r="FX9" s="322"/>
      <c r="FY9" s="322"/>
      <c r="FZ9" s="322"/>
      <c r="GA9" s="322"/>
      <c r="GB9" s="322"/>
      <c r="GC9" s="322"/>
      <c r="GD9" s="322"/>
      <c r="GE9" s="322"/>
      <c r="GF9" s="322"/>
      <c r="GG9" s="322"/>
      <c r="GH9" s="322"/>
      <c r="GI9" s="322"/>
      <c r="GJ9" s="322"/>
      <c r="GK9" s="322"/>
      <c r="GL9" s="322"/>
      <c r="GM9" s="322"/>
      <c r="GN9" s="322"/>
      <c r="GO9" s="322"/>
      <c r="GP9" s="322"/>
      <c r="GQ9" s="322"/>
      <c r="GR9" s="322"/>
      <c r="GS9" s="322"/>
      <c r="GT9" s="322"/>
      <c r="GU9" s="322"/>
      <c r="GV9" s="322"/>
      <c r="GW9" s="322"/>
      <c r="GX9" s="322"/>
      <c r="GY9" s="322"/>
      <c r="GZ9" s="322"/>
      <c r="HA9" s="322"/>
      <c r="HB9" s="322"/>
      <c r="HC9" s="322"/>
      <c r="HD9" s="322"/>
      <c r="HE9" s="322"/>
      <c r="HF9" s="322"/>
      <c r="HG9" s="322"/>
      <c r="HH9" s="322"/>
      <c r="HI9" s="322"/>
      <c r="HJ9" s="322"/>
      <c r="HK9" s="322"/>
      <c r="HL9" s="322"/>
    </row>
    <row r="10" spans="2:220" ht="30" customHeight="1" x14ac:dyDescent="0.2">
      <c r="B10" s="372"/>
      <c r="C10" s="314" t="s">
        <v>206</v>
      </c>
      <c r="D10" s="305">
        <v>14229000</v>
      </c>
      <c r="E10" s="378"/>
    </row>
    <row r="11" spans="2:220" ht="30" customHeight="1" x14ac:dyDescent="0.2">
      <c r="B11" s="372"/>
      <c r="C11" s="314" t="s">
        <v>207</v>
      </c>
      <c r="D11" s="305">
        <v>3024000</v>
      </c>
      <c r="E11" s="378"/>
    </row>
    <row r="12" spans="2:220" ht="30" customHeight="1" thickBot="1" x14ac:dyDescent="0.25">
      <c r="B12" s="373"/>
      <c r="C12" s="327" t="s">
        <v>208</v>
      </c>
      <c r="D12" s="328">
        <v>1512000</v>
      </c>
      <c r="E12" s="379"/>
    </row>
    <row r="13" spans="2:220" ht="30" customHeight="1" thickBot="1" x14ac:dyDescent="0.25">
      <c r="B13" s="348" t="s">
        <v>203</v>
      </c>
      <c r="C13" s="329" t="s">
        <v>24</v>
      </c>
      <c r="D13" s="330">
        <v>2265255</v>
      </c>
      <c r="E13" s="331">
        <f>SUM('TOMATE INVERNADERO'!G52:G53)</f>
        <v>2265255</v>
      </c>
    </row>
    <row r="14" spans="2:220" ht="30" customHeight="1" x14ac:dyDescent="0.2">
      <c r="B14" s="368" t="s">
        <v>26</v>
      </c>
      <c r="C14" s="325" t="s">
        <v>151</v>
      </c>
      <c r="D14" s="326">
        <v>8623045.4333333336</v>
      </c>
      <c r="E14" s="374">
        <f>SUM(D14:D21)</f>
        <v>28651666.41734121</v>
      </c>
    </row>
    <row r="15" spans="2:220" ht="30" customHeight="1" x14ac:dyDescent="0.2">
      <c r="B15" s="369"/>
      <c r="C15" s="315" t="s">
        <v>165</v>
      </c>
      <c r="D15" s="305">
        <v>1705040</v>
      </c>
      <c r="E15" s="375"/>
    </row>
    <row r="16" spans="2:220" ht="30" customHeight="1" x14ac:dyDescent="0.2">
      <c r="B16" s="369"/>
      <c r="C16" s="313" t="s">
        <v>150</v>
      </c>
      <c r="D16" s="305">
        <v>10829000</v>
      </c>
      <c r="E16" s="375"/>
      <c r="N16" s="318"/>
    </row>
    <row r="17" spans="2:6" ht="30" customHeight="1" x14ac:dyDescent="0.2">
      <c r="B17" s="369"/>
      <c r="C17" s="316" t="s">
        <v>58</v>
      </c>
      <c r="D17" s="305">
        <v>4512045</v>
      </c>
      <c r="E17" s="375"/>
    </row>
    <row r="18" spans="2:6" ht="30" customHeight="1" x14ac:dyDescent="0.2">
      <c r="B18" s="369"/>
      <c r="C18" s="304" t="s">
        <v>149</v>
      </c>
      <c r="D18" s="305">
        <v>1455096.7324999999</v>
      </c>
      <c r="E18" s="375"/>
    </row>
    <row r="19" spans="2:6" ht="30" customHeight="1" x14ac:dyDescent="0.2">
      <c r="B19" s="369"/>
      <c r="C19" s="317" t="s">
        <v>154</v>
      </c>
      <c r="D19" s="305">
        <v>294096.59999999998</v>
      </c>
      <c r="E19" s="375"/>
      <c r="F19" s="309"/>
    </row>
    <row r="20" spans="2:6" ht="30" customHeight="1" x14ac:dyDescent="0.2">
      <c r="B20" s="369"/>
      <c r="C20" s="316" t="s">
        <v>210</v>
      </c>
      <c r="D20" s="305">
        <v>411845.38150787697</v>
      </c>
      <c r="E20" s="375"/>
    </row>
    <row r="21" spans="2:6" ht="30" customHeight="1" thickBot="1" x14ac:dyDescent="0.25">
      <c r="B21" s="370"/>
      <c r="C21" s="332" t="s">
        <v>190</v>
      </c>
      <c r="D21" s="333">
        <v>821497.2699999999</v>
      </c>
      <c r="E21" s="376"/>
    </row>
    <row r="22" spans="2:6" ht="30" customHeight="1" thickBot="1" x14ac:dyDescent="0.25">
      <c r="B22" s="349" t="s">
        <v>204</v>
      </c>
      <c r="C22" s="334" t="str">
        <f>'TOMATE INVERNADERO'!B121</f>
        <v>Energia electrica para riego</v>
      </c>
      <c r="D22" s="335">
        <v>1200000</v>
      </c>
      <c r="E22" s="336">
        <f>D22</f>
        <v>1200000</v>
      </c>
    </row>
    <row r="23" spans="2:6" ht="30" customHeight="1" thickBot="1" x14ac:dyDescent="0.25">
      <c r="E23" s="311"/>
    </row>
    <row r="24" spans="2:6" ht="30" customHeight="1" x14ac:dyDescent="0.2">
      <c r="C24" s="337" t="s">
        <v>34</v>
      </c>
      <c r="D24" s="338">
        <f>E9+E13+E14+E22</f>
        <v>51331921.41734121</v>
      </c>
      <c r="E24" s="311"/>
    </row>
    <row r="25" spans="2:6" ht="30" customHeight="1" x14ac:dyDescent="0.2">
      <c r="C25" s="339" t="s">
        <v>35</v>
      </c>
      <c r="D25" s="340">
        <f>D24*0.05</f>
        <v>2566596.0708670607</v>
      </c>
      <c r="E25" s="311"/>
    </row>
    <row r="26" spans="2:6" ht="30" customHeight="1" x14ac:dyDescent="0.2">
      <c r="C26" s="339" t="s">
        <v>36</v>
      </c>
      <c r="D26" s="340">
        <f>D25+D24</f>
        <v>53898517.488208272</v>
      </c>
      <c r="E26" s="311"/>
    </row>
    <row r="27" spans="2:6" ht="30" customHeight="1" x14ac:dyDescent="0.2">
      <c r="C27" s="339" t="s">
        <v>37</v>
      </c>
      <c r="D27" s="340">
        <f>'TOMATE INVERNADERO'!G12</f>
        <v>68510000</v>
      </c>
      <c r="E27" s="311"/>
    </row>
    <row r="28" spans="2:6" ht="30" customHeight="1" thickBot="1" x14ac:dyDescent="0.25">
      <c r="C28" s="341" t="s">
        <v>38</v>
      </c>
      <c r="D28" s="342">
        <f>D27-D26</f>
        <v>14611482.511791728</v>
      </c>
      <c r="E28" s="311"/>
    </row>
    <row r="29" spans="2:6" ht="50.1" customHeight="1" x14ac:dyDescent="0.2">
      <c r="E29" s="311"/>
    </row>
    <row r="30" spans="2:6" ht="50.1" customHeight="1" x14ac:dyDescent="0.2">
      <c r="E30" s="311"/>
    </row>
    <row r="31" spans="2:6" ht="50.1" customHeight="1" x14ac:dyDescent="0.2">
      <c r="E31" s="311"/>
    </row>
    <row r="32" spans="2:6" ht="50.1" customHeight="1" x14ac:dyDescent="0.2">
      <c r="E32" s="311"/>
    </row>
    <row r="33" spans="3:5" ht="50.1" customHeight="1" x14ac:dyDescent="0.2">
      <c r="C33" s="306"/>
      <c r="D33" s="306"/>
      <c r="E33" s="312"/>
    </row>
    <row r="34" spans="3:5" ht="50.1" customHeight="1" x14ac:dyDescent="0.2">
      <c r="C34" s="306"/>
      <c r="D34" s="306"/>
      <c r="E34" s="312"/>
    </row>
    <row r="35" spans="3:5" ht="50.1" customHeight="1" x14ac:dyDescent="0.2">
      <c r="C35" s="306"/>
      <c r="D35" s="306"/>
      <c r="E35" s="312"/>
    </row>
    <row r="36" spans="3:5" ht="50.1" customHeight="1" x14ac:dyDescent="0.25"/>
    <row r="37" spans="3:5" ht="50.1" customHeight="1" x14ac:dyDescent="0.25"/>
    <row r="38" spans="3:5" ht="50.1" customHeight="1" x14ac:dyDescent="0.25"/>
    <row r="39" spans="3:5" ht="50.1" customHeight="1" x14ac:dyDescent="0.25"/>
    <row r="40" spans="3:5" ht="50.1" customHeight="1" x14ac:dyDescent="0.25"/>
    <row r="41" spans="3:5" ht="50.1" customHeight="1" x14ac:dyDescent="0.25"/>
    <row r="42" spans="3:5" ht="50.1" customHeight="1" x14ac:dyDescent="0.25"/>
    <row r="43" spans="3:5" ht="50.1" customHeight="1" x14ac:dyDescent="0.25"/>
    <row r="44" spans="3:5" ht="50.1" customHeight="1" x14ac:dyDescent="0.25"/>
    <row r="45" spans="3:5" ht="50.1" customHeight="1" x14ac:dyDescent="0.25"/>
    <row r="46" spans="3:5" ht="50.1" customHeight="1" x14ac:dyDescent="0.25"/>
    <row r="47" spans="3:5" ht="50.1" customHeight="1" x14ac:dyDescent="0.25"/>
    <row r="48" spans="3:5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  <row r="54" ht="50.1" customHeight="1" x14ac:dyDescent="0.25"/>
    <row r="55" ht="50.1" customHeight="1" x14ac:dyDescent="0.25"/>
    <row r="56" ht="50.1" customHeight="1" x14ac:dyDescent="0.25"/>
    <row r="57" ht="50.1" customHeight="1" x14ac:dyDescent="0.25"/>
    <row r="58" ht="50.1" customHeight="1" x14ac:dyDescent="0.25"/>
    <row r="59" ht="50.1" customHeight="1" x14ac:dyDescent="0.25"/>
    <row r="60" ht="50.1" customHeight="1" x14ac:dyDescent="0.25"/>
    <row r="61" ht="50.1" customHeight="1" x14ac:dyDescent="0.25"/>
    <row r="62" ht="50.1" customHeight="1" x14ac:dyDescent="0.25"/>
    <row r="63" ht="50.1" customHeight="1" x14ac:dyDescent="0.25"/>
    <row r="64" ht="50.1" customHeight="1" x14ac:dyDescent="0.25"/>
    <row r="65" ht="50.1" customHeight="1" x14ac:dyDescent="0.25"/>
    <row r="66" ht="50.1" customHeight="1" x14ac:dyDescent="0.25"/>
    <row r="67" ht="50.1" customHeight="1" x14ac:dyDescent="0.25"/>
    <row r="68" ht="50.1" customHeight="1" x14ac:dyDescent="0.25"/>
    <row r="69" ht="50.1" customHeight="1" x14ac:dyDescent="0.25"/>
    <row r="70" ht="50.1" customHeight="1" x14ac:dyDescent="0.25"/>
    <row r="71" ht="50.1" customHeight="1" x14ac:dyDescent="0.25"/>
    <row r="72" ht="50.1" customHeight="1" x14ac:dyDescent="0.25"/>
    <row r="73" ht="50.1" customHeight="1" x14ac:dyDescent="0.25"/>
    <row r="74" ht="50.1" customHeight="1" x14ac:dyDescent="0.25"/>
    <row r="75" ht="50.1" customHeight="1" x14ac:dyDescent="0.25"/>
    <row r="76" ht="50.1" customHeight="1" x14ac:dyDescent="0.25"/>
    <row r="77" ht="50.1" customHeight="1" x14ac:dyDescent="0.25"/>
    <row r="78" ht="50.1" customHeight="1" x14ac:dyDescent="0.25"/>
    <row r="79" ht="50.1" customHeight="1" x14ac:dyDescent="0.25"/>
    <row r="80" ht="50.1" customHeight="1" x14ac:dyDescent="0.25"/>
    <row r="81" ht="50.1" customHeight="1" x14ac:dyDescent="0.25"/>
    <row r="82" ht="50.1" customHeight="1" x14ac:dyDescent="0.25"/>
    <row r="83" ht="50.1" customHeight="1" x14ac:dyDescent="0.25"/>
    <row r="84" ht="50.1" customHeight="1" x14ac:dyDescent="0.25"/>
    <row r="85" ht="50.1" customHeight="1" x14ac:dyDescent="0.25"/>
    <row r="86" ht="50.1" customHeight="1" x14ac:dyDescent="0.25"/>
    <row r="87" ht="50.1" customHeight="1" x14ac:dyDescent="0.25"/>
    <row r="88" ht="50.1" customHeight="1" x14ac:dyDescent="0.25"/>
    <row r="89" ht="50.1" customHeight="1" x14ac:dyDescent="0.25"/>
    <row r="90" ht="50.1" customHeight="1" x14ac:dyDescent="0.25"/>
    <row r="91" ht="50.1" customHeight="1" x14ac:dyDescent="0.25"/>
    <row r="92" ht="50.1" customHeight="1" x14ac:dyDescent="0.25"/>
    <row r="93" ht="50.1" customHeight="1" x14ac:dyDescent="0.25"/>
    <row r="94" ht="50.1" customHeight="1" x14ac:dyDescent="0.25"/>
    <row r="95" ht="50.1" customHeight="1" x14ac:dyDescent="0.25"/>
    <row r="96" ht="50.1" customHeight="1" x14ac:dyDescent="0.25"/>
    <row r="97" ht="50.1" customHeight="1" x14ac:dyDescent="0.25"/>
    <row r="98" ht="50.1" customHeight="1" x14ac:dyDescent="0.25"/>
    <row r="99" ht="50.1" customHeight="1" x14ac:dyDescent="0.25"/>
    <row r="100" ht="50.1" customHeight="1" x14ac:dyDescent="0.25"/>
    <row r="101" ht="50.1" customHeight="1" x14ac:dyDescent="0.25"/>
    <row r="102" ht="50.1" customHeight="1" x14ac:dyDescent="0.25"/>
    <row r="103" ht="50.1" customHeight="1" x14ac:dyDescent="0.25"/>
    <row r="104" ht="50.1" customHeight="1" x14ac:dyDescent="0.25"/>
    <row r="105" ht="50.1" customHeight="1" x14ac:dyDescent="0.25"/>
    <row r="106" ht="50.1" customHeight="1" x14ac:dyDescent="0.25"/>
    <row r="107" ht="50.1" customHeight="1" x14ac:dyDescent="0.25"/>
    <row r="108" ht="50.1" customHeight="1" x14ac:dyDescent="0.25"/>
    <row r="109" ht="50.1" customHeight="1" x14ac:dyDescent="0.25"/>
    <row r="110" ht="50.1" customHeight="1" x14ac:dyDescent="0.25"/>
    <row r="111" ht="50.1" customHeight="1" x14ac:dyDescent="0.25"/>
    <row r="112" ht="50.1" customHeight="1" x14ac:dyDescent="0.25"/>
    <row r="113" ht="50.1" customHeight="1" x14ac:dyDescent="0.25"/>
    <row r="114" ht="50.1" customHeight="1" x14ac:dyDescent="0.25"/>
    <row r="115" ht="50.1" customHeight="1" x14ac:dyDescent="0.25"/>
    <row r="116" ht="50.1" customHeight="1" x14ac:dyDescent="0.25"/>
    <row r="117" ht="50.1" customHeight="1" x14ac:dyDescent="0.25"/>
    <row r="118" ht="50.1" customHeight="1" x14ac:dyDescent="0.25"/>
    <row r="119" ht="50.1" customHeight="1" x14ac:dyDescent="0.25"/>
    <row r="120" ht="50.1" customHeight="1" x14ac:dyDescent="0.25"/>
    <row r="121" ht="50.1" customHeight="1" x14ac:dyDescent="0.25"/>
    <row r="122" ht="50.1" customHeight="1" x14ac:dyDescent="0.25"/>
    <row r="123" ht="50.1" customHeight="1" x14ac:dyDescent="0.25"/>
    <row r="124" ht="50.1" customHeight="1" x14ac:dyDescent="0.25"/>
    <row r="125" ht="50.1" customHeight="1" x14ac:dyDescent="0.25"/>
    <row r="126" ht="50.1" customHeight="1" x14ac:dyDescent="0.25"/>
    <row r="127" ht="50.1" customHeight="1" x14ac:dyDescent="0.25"/>
    <row r="128" ht="50.1" customHeight="1" x14ac:dyDescent="0.25"/>
    <row r="129" ht="50.1" customHeight="1" x14ac:dyDescent="0.25"/>
    <row r="130" ht="50.1" customHeight="1" x14ac:dyDescent="0.25"/>
    <row r="131" ht="50.1" customHeight="1" x14ac:dyDescent="0.25"/>
    <row r="132" ht="50.1" customHeight="1" x14ac:dyDescent="0.25"/>
    <row r="133" ht="50.1" customHeight="1" x14ac:dyDescent="0.25"/>
    <row r="134" ht="50.1" customHeight="1" x14ac:dyDescent="0.25"/>
  </sheetData>
  <mergeCells count="4">
    <mergeCell ref="B14:B21"/>
    <mergeCell ref="B9:B12"/>
    <mergeCell ref="E14:E21"/>
    <mergeCell ref="E9:E12"/>
  </mergeCells>
  <pageMargins left="0.25" right="0.25" top="0.14000000000000001" bottom="1.24" header="0.12" footer="1.22"/>
  <pageSetup scale="54" orientation="portrait" r:id="rId1"/>
  <headerFooter>
    <oddFooter>&amp;C&amp;"Helvetica Neue,Regular"&amp;12&amp;K000000&amp;P</oddFooter>
  </headerFooter>
  <rowBreaks count="1" manualBreakCount="1">
    <brk id="28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DD9022-0117-4D8C-BD90-083DC46270A3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http://purl.org/dc/terms/"/>
    <ds:schemaRef ds:uri="1030f0af-99cb-42f1-88fc-acec73331192"/>
    <ds:schemaRef ds:uri="c5dbce2d-49dc-4afe-a5b0-d7fb7a90116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TOMATE INVERNADERO</vt:lpstr>
      <vt:lpstr>TOMATE INVERNADERO JUNIO 2022</vt:lpstr>
      <vt:lpstr>RESUMEN </vt:lpstr>
      <vt:lpstr>'RESUMEN '!Área_de_impresión</vt:lpstr>
      <vt:lpstr>'TOMATE INVERNADERO'!Área_de_impresión</vt:lpstr>
      <vt:lpstr>'TOMATE INVERNADERO JUNIO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2023-03-01T19:35:39Z</cp:lastPrinted>
  <dcterms:created xsi:type="dcterms:W3CDTF">2020-11-27T12:49:26Z</dcterms:created>
  <dcterms:modified xsi:type="dcterms:W3CDTF">2023-05-03T14:58:57Z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